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david\Documents\Financial Models\Issued\"/>
    </mc:Choice>
  </mc:AlternateContent>
  <xr:revisionPtr revIDLastSave="0" documentId="13_ncr:1_{B9CA1944-8E8B-47A4-9ECA-B7D7E744230A}" xr6:coauthVersionLast="47" xr6:coauthVersionMax="47" xr10:uidLastSave="{00000000-0000-0000-0000-000000000000}"/>
  <bookViews>
    <workbookView xWindow="-105" yWindow="0" windowWidth="26010" windowHeight="20985" tabRatio="745" xr2:uid="{9C6D26C5-4651-49C0-9014-5F5F7DD76AB5}"/>
  </bookViews>
  <sheets>
    <sheet name="Cover" sheetId="1" r:id="rId1"/>
    <sheet name="Disclaimer" sheetId="7" r:id="rId2"/>
    <sheet name="Business" sheetId="8" r:id="rId3"/>
    <sheet name="Summary" sheetId="2" state="hidden" r:id="rId4"/>
    <sheet name="Assumptions" sheetId="3" r:id="rId5"/>
    <sheet name="Scenarios" sheetId="4" r:id="rId6"/>
    <sheet name="Valuation" sheetId="10" r:id="rId7"/>
    <sheet name="Model" sheetId="5" r:id="rId8"/>
    <sheet name="Other" sheetId="9" state="hidden" r:id="rId9"/>
  </sheets>
  <definedNames>
    <definedName name="_xlnm.Print_Area" localSheetId="4">Assumptions!$B$1:$O$44,Assumptions!$B$47:$O$94</definedName>
    <definedName name="_xlnm.Print_Area" localSheetId="2">Business!$B$1:$O$47</definedName>
    <definedName name="_xlnm.Print_Area" localSheetId="0">Cover!$B$1:$K$37</definedName>
    <definedName name="_xlnm.Print_Area" localSheetId="1">Disclaimer!$B$1:$Q$49</definedName>
    <definedName name="_xlnm.Print_Area" localSheetId="7">Model!$B$1:$O$60,Model!$B$62:$O$102,Model!$B$104:$O$161,Model!$B$163:$O$202,Model!$B$204:$O$255,Model!$B$257:$O$280,Model!$B$282:$O$303,Model!$B$305:$O$327,Model!$B$329:$O$365,Model!$B$367:$O$420,Model!$B$422:$O$466,Model!$B$468:$O$508</definedName>
    <definedName name="_xlnm.Print_Area" localSheetId="5">Scenarios!$B$1:$K$36,Scenarios!$B$38:$K$72,Scenarios!$B$74:$K$94</definedName>
    <definedName name="_xlnm.Print_Area" localSheetId="3">Summary!$B$1:$Q$66</definedName>
    <definedName name="_xlnm.Print_Area" localSheetId="6">Valuation!$B$1:$O$42</definedName>
    <definedName name="solver_adj" localSheetId="8" hidden="1">Other!$F$40:$F$42,Other!$F$46:$F$48</definedName>
    <definedName name="solver_cvg" localSheetId="8" hidden="1">0.0001</definedName>
    <definedName name="solver_drv" localSheetId="8" hidden="1">1</definedName>
    <definedName name="solver_eng" localSheetId="8" hidden="1">1</definedName>
    <definedName name="solver_est" localSheetId="8" hidden="1">1</definedName>
    <definedName name="solver_itr" localSheetId="8" hidden="1">2147483647</definedName>
    <definedName name="solver_lhs1" localSheetId="8" hidden="1">Other!$J$48</definedName>
    <definedName name="solver_lhs2" localSheetId="8" hidden="1">Other!$L$40</definedName>
    <definedName name="solver_lhs3" localSheetId="8" hidden="1">Other!$L$46</definedName>
    <definedName name="solver_lhs4" localSheetId="8" hidden="1">Other!$W$61</definedName>
    <definedName name="solver_mip" localSheetId="8" hidden="1">2147483647</definedName>
    <definedName name="solver_mni" localSheetId="8" hidden="1">30</definedName>
    <definedName name="solver_mrt" localSheetId="8" hidden="1">0.075</definedName>
    <definedName name="solver_msl" localSheetId="8" hidden="1">2</definedName>
    <definedName name="solver_neg" localSheetId="8" hidden="1">1</definedName>
    <definedName name="solver_nod" localSheetId="8" hidden="1">2147483647</definedName>
    <definedName name="solver_num" localSheetId="8" hidden="1">4</definedName>
    <definedName name="solver_nwt" localSheetId="8" hidden="1">1</definedName>
    <definedName name="solver_opt" localSheetId="8" hidden="1">Other!$L$76</definedName>
    <definedName name="solver_pre" localSheetId="8" hidden="1">0.000001</definedName>
    <definedName name="solver_rbv" localSheetId="8" hidden="1">1</definedName>
    <definedName name="solver_rel1" localSheetId="8" hidden="1">3</definedName>
    <definedName name="solver_rel2" localSheetId="8" hidden="1">3</definedName>
    <definedName name="solver_rel3" localSheetId="8" hidden="1">3</definedName>
    <definedName name="solver_rel4" localSheetId="8" hidden="1">1</definedName>
    <definedName name="solver_rhs1" localSheetId="8" hidden="1">Other!$J$42</definedName>
    <definedName name="solver_rhs2" localSheetId="8" hidden="1">Other!$L$41</definedName>
    <definedName name="solver_rhs3" localSheetId="8" hidden="1">Other!$L$47</definedName>
    <definedName name="solver_rhs4" localSheetId="8" hidden="1">3000</definedName>
    <definedName name="solver_rlx" localSheetId="8" hidden="1">2</definedName>
    <definedName name="solver_rsd" localSheetId="8" hidden="1">0</definedName>
    <definedName name="solver_scl" localSheetId="8" hidden="1">1</definedName>
    <definedName name="solver_sho" localSheetId="8" hidden="1">2</definedName>
    <definedName name="solver_ssz" localSheetId="8" hidden="1">100</definedName>
    <definedName name="solver_tim" localSheetId="8" hidden="1">2147483647</definedName>
    <definedName name="solver_tol" localSheetId="8" hidden="1">0.01</definedName>
    <definedName name="solver_typ" localSheetId="8" hidden="1">3</definedName>
    <definedName name="solver_val" localSheetId="8" hidden="1">0</definedName>
    <definedName name="solver_ver" localSheetId="8"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 i="10" l="1"/>
  <c r="N30" i="10"/>
  <c r="M30" i="10"/>
  <c r="L30" i="10"/>
  <c r="K30" i="10"/>
  <c r="J31" i="10"/>
  <c r="D35" i="10"/>
  <c r="J11" i="10"/>
  <c r="K11" i="10" s="1"/>
  <c r="L11" i="10" s="1"/>
  <c r="M11" i="10" s="1"/>
  <c r="N11" i="10" s="1"/>
  <c r="O11" i="10" s="1"/>
  <c r="L67" i="3"/>
  <c r="M67" i="3" s="1"/>
  <c r="N67" i="3" s="1"/>
  <c r="K67" i="3"/>
  <c r="F278" i="5"/>
  <c r="F91" i="4"/>
  <c r="E91" i="4"/>
  <c r="D91" i="4"/>
  <c r="F90" i="4"/>
  <c r="G90" i="4" s="1"/>
  <c r="E90" i="4"/>
  <c r="D90" i="4"/>
  <c r="J98" i="5"/>
  <c r="I98" i="5"/>
  <c r="H98" i="5"/>
  <c r="J97" i="5"/>
  <c r="I97" i="5"/>
  <c r="H97" i="5"/>
  <c r="D92" i="5"/>
  <c r="D90" i="5"/>
  <c r="D88" i="5"/>
  <c r="D87" i="5"/>
  <c r="D86" i="5"/>
  <c r="D85" i="5"/>
  <c r="J57" i="5"/>
  <c r="C31" i="5"/>
  <c r="J45" i="5"/>
  <c r="F70" i="4"/>
  <c r="G70" i="4" s="1"/>
  <c r="H70" i="4" s="1"/>
  <c r="I70" i="4" s="1"/>
  <c r="J70" i="4" s="1"/>
  <c r="K70" i="4" s="1"/>
  <c r="E70" i="4"/>
  <c r="D70" i="4"/>
  <c r="J56" i="5"/>
  <c r="J55" i="5"/>
  <c r="J54" i="5"/>
  <c r="J52" i="5"/>
  <c r="J51" i="5"/>
  <c r="J50" i="5"/>
  <c r="J44" i="5"/>
  <c r="J43" i="5"/>
  <c r="J42" i="5"/>
  <c r="J40" i="5"/>
  <c r="J39" i="5"/>
  <c r="J38" i="5"/>
  <c r="J29" i="5"/>
  <c r="J77" i="5" s="1"/>
  <c r="I29" i="5"/>
  <c r="I76" i="5" s="1"/>
  <c r="H29" i="5"/>
  <c r="H76" i="5" s="1"/>
  <c r="J25" i="5"/>
  <c r="J81" i="5" s="1"/>
  <c r="F85" i="4" s="1"/>
  <c r="G85" i="4" s="1"/>
  <c r="I25" i="5"/>
  <c r="I81" i="5" s="1"/>
  <c r="E85" i="4" s="1"/>
  <c r="H25" i="5"/>
  <c r="H81" i="5" s="1"/>
  <c r="D85" i="4" s="1"/>
  <c r="F47" i="4"/>
  <c r="G47" i="4" s="1"/>
  <c r="H47" i="4" s="1"/>
  <c r="L12" i="5" s="1"/>
  <c r="E47" i="4"/>
  <c r="D47" i="4"/>
  <c r="F46" i="4"/>
  <c r="G46" i="4" s="1"/>
  <c r="E46" i="4"/>
  <c r="D46" i="4"/>
  <c r="F45" i="4"/>
  <c r="G45" i="4" s="1"/>
  <c r="K10" i="5" s="1"/>
  <c r="E45" i="4"/>
  <c r="F52" i="4"/>
  <c r="G52" i="4" s="1"/>
  <c r="H52" i="4" s="1"/>
  <c r="E52" i="4"/>
  <c r="D52" i="4"/>
  <c r="F51" i="4"/>
  <c r="G51" i="4" s="1"/>
  <c r="E51" i="4"/>
  <c r="D51" i="4"/>
  <c r="F50" i="4"/>
  <c r="E50" i="4"/>
  <c r="D50" i="4"/>
  <c r="D45" i="4"/>
  <c r="G50" i="4"/>
  <c r="H50" i="4" s="1"/>
  <c r="D63" i="4"/>
  <c r="E63" i="4"/>
  <c r="F63" i="4"/>
  <c r="D64" i="4"/>
  <c r="E64" i="4"/>
  <c r="F64" i="4"/>
  <c r="G64" i="4" s="1"/>
  <c r="H64" i="4" s="1"/>
  <c r="I64" i="4" s="1"/>
  <c r="J64" i="4" s="1"/>
  <c r="K64" i="4" s="1"/>
  <c r="D65" i="4"/>
  <c r="E65" i="4"/>
  <c r="F65" i="4"/>
  <c r="G65" i="4" s="1"/>
  <c r="H65" i="4" s="1"/>
  <c r="I65" i="4" s="1"/>
  <c r="J65" i="4" s="1"/>
  <c r="K65" i="4" s="1"/>
  <c r="C65" i="4"/>
  <c r="C16" i="5" s="1"/>
  <c r="C64" i="4"/>
  <c r="C15" i="5" s="1"/>
  <c r="C63" i="4"/>
  <c r="C14" i="5" s="1"/>
  <c r="C24" i="5"/>
  <c r="C28" i="5" s="1"/>
  <c r="C44" i="5" s="1"/>
  <c r="C56" i="5" s="1"/>
  <c r="C23" i="5"/>
  <c r="C27" i="5" s="1"/>
  <c r="C43" i="5" s="1"/>
  <c r="C55" i="5" s="1"/>
  <c r="C22" i="5"/>
  <c r="C26" i="5" s="1"/>
  <c r="C42" i="5" s="1"/>
  <c r="C54" i="5" s="1"/>
  <c r="C13" i="5"/>
  <c r="C25" i="5" s="1"/>
  <c r="C41" i="5" s="1"/>
  <c r="C53" i="5" s="1"/>
  <c r="C12" i="5"/>
  <c r="C11" i="5"/>
  <c r="C10" i="5"/>
  <c r="C9" i="5"/>
  <c r="C21" i="5" s="1"/>
  <c r="K72" i="9"/>
  <c r="I61" i="9"/>
  <c r="H61" i="9"/>
  <c r="G61" i="9"/>
  <c r="I60" i="9"/>
  <c r="H60" i="9"/>
  <c r="G60" i="9"/>
  <c r="I59" i="9"/>
  <c r="G59" i="9"/>
  <c r="G54" i="9"/>
  <c r="G53" i="9"/>
  <c r="K73" i="9"/>
  <c r="K67" i="9"/>
  <c r="K66" i="9"/>
  <c r="K65" i="9"/>
  <c r="I36" i="9"/>
  <c r="H36" i="9"/>
  <c r="G36" i="9"/>
  <c r="I31" i="9"/>
  <c r="H31" i="9"/>
  <c r="G31" i="9"/>
  <c r="I13" i="9"/>
  <c r="I23" i="9" s="1"/>
  <c r="H13" i="9"/>
  <c r="G13" i="9"/>
  <c r="G21" i="9"/>
  <c r="H21" i="9"/>
  <c r="H23" i="9" s="1"/>
  <c r="I21" i="9"/>
  <c r="M20" i="9"/>
  <c r="L20" i="9"/>
  <c r="K20" i="9"/>
  <c r="M19" i="9"/>
  <c r="L19" i="9"/>
  <c r="K19" i="9"/>
  <c r="L18" i="9"/>
  <c r="K18" i="9"/>
  <c r="M18" i="9"/>
  <c r="I8" i="9"/>
  <c r="M12" i="9" s="1"/>
  <c r="H8" i="9"/>
  <c r="L11" i="9" s="1"/>
  <c r="G8" i="9"/>
  <c r="K11" i="9" s="1"/>
  <c r="F60" i="4"/>
  <c r="G60" i="4" s="1"/>
  <c r="H60" i="4" s="1"/>
  <c r="I60" i="4" s="1"/>
  <c r="J60" i="4" s="1"/>
  <c r="K60" i="4" s="1"/>
  <c r="E60" i="4"/>
  <c r="D60" i="4"/>
  <c r="J194" i="5"/>
  <c r="H194" i="5"/>
  <c r="I194" i="5"/>
  <c r="J192" i="5"/>
  <c r="I192" i="5"/>
  <c r="H192" i="5"/>
  <c r="J191" i="5"/>
  <c r="I191" i="5"/>
  <c r="H191" i="5"/>
  <c r="J184" i="5"/>
  <c r="I184" i="5"/>
  <c r="H184" i="5"/>
  <c r="H183" i="5"/>
  <c r="J176" i="5"/>
  <c r="I176" i="5"/>
  <c r="H176" i="5"/>
  <c r="H173" i="5"/>
  <c r="H174" i="5"/>
  <c r="J21" i="10" l="1"/>
  <c r="J30" i="10" s="1"/>
  <c r="G23" i="9"/>
  <c r="G63" i="4"/>
  <c r="H63" i="4" s="1"/>
  <c r="I63" i="4" s="1"/>
  <c r="J63" i="4" s="1"/>
  <c r="K63" i="4" s="1"/>
  <c r="O27" i="5"/>
  <c r="H90" i="4"/>
  <c r="I82" i="5"/>
  <c r="E87" i="4" s="1"/>
  <c r="J78" i="5"/>
  <c r="F82" i="4" s="1"/>
  <c r="G82" i="4" s="1"/>
  <c r="K78" i="5" s="1"/>
  <c r="J82" i="5"/>
  <c r="F87" i="4" s="1"/>
  <c r="G87" i="4" s="1"/>
  <c r="H87" i="4" s="1"/>
  <c r="J76" i="5"/>
  <c r="H78" i="5"/>
  <c r="D82" i="4" s="1"/>
  <c r="I78" i="5"/>
  <c r="E82" i="4" s="1"/>
  <c r="H82" i="5"/>
  <c r="D87" i="4" s="1"/>
  <c r="H77" i="5"/>
  <c r="D81" i="4" s="1"/>
  <c r="J58" i="5"/>
  <c r="I77" i="5"/>
  <c r="E81" i="4" s="1"/>
  <c r="H85" i="4"/>
  <c r="K81" i="5"/>
  <c r="K74" i="9"/>
  <c r="J30" i="5"/>
  <c r="J112" i="5" s="1"/>
  <c r="H30" i="5"/>
  <c r="H112" i="5" s="1"/>
  <c r="M27" i="5"/>
  <c r="K14" i="5"/>
  <c r="I30" i="5"/>
  <c r="I112" i="5" s="1"/>
  <c r="C40" i="5"/>
  <c r="C52" i="5" s="1"/>
  <c r="F66" i="4"/>
  <c r="D66" i="4"/>
  <c r="K12" i="5"/>
  <c r="N27" i="5"/>
  <c r="K27" i="5"/>
  <c r="E66" i="4"/>
  <c r="H45" i="4"/>
  <c r="L27" i="5"/>
  <c r="K11" i="5"/>
  <c r="H46" i="4"/>
  <c r="H51" i="4"/>
  <c r="K15" i="5"/>
  <c r="I52" i="4"/>
  <c r="J52" i="4" s="1"/>
  <c r="L16" i="5"/>
  <c r="K16" i="5"/>
  <c r="I50" i="4"/>
  <c r="L14" i="5"/>
  <c r="I47" i="4"/>
  <c r="L26" i="5"/>
  <c r="I53" i="9"/>
  <c r="I65" i="9" s="1"/>
  <c r="H59" i="9"/>
  <c r="H73" i="9" s="1"/>
  <c r="I54" i="9"/>
  <c r="I66" i="9" s="1"/>
  <c r="H54" i="9"/>
  <c r="H66" i="9" s="1"/>
  <c r="I55" i="9"/>
  <c r="H55" i="9"/>
  <c r="H67" i="9" s="1"/>
  <c r="H53" i="9"/>
  <c r="G55" i="9"/>
  <c r="G72" i="9" s="1"/>
  <c r="G73" i="9"/>
  <c r="J61" i="9"/>
  <c r="I73" i="9"/>
  <c r="G65" i="9"/>
  <c r="J60" i="9"/>
  <c r="G66" i="9"/>
  <c r="K68" i="9"/>
  <c r="M11" i="9"/>
  <c r="K12" i="9"/>
  <c r="K10" i="9"/>
  <c r="L12" i="9"/>
  <c r="L10" i="9"/>
  <c r="M10" i="9"/>
  <c r="J154" i="5"/>
  <c r="I154" i="5"/>
  <c r="H154" i="5"/>
  <c r="J249" i="5"/>
  <c r="I249" i="5"/>
  <c r="J240" i="5"/>
  <c r="I240" i="5"/>
  <c r="J243" i="5"/>
  <c r="I243" i="5"/>
  <c r="I236" i="5"/>
  <c r="J236" i="5"/>
  <c r="I241" i="5"/>
  <c r="J242" i="5"/>
  <c r="J241" i="5"/>
  <c r="J237" i="5"/>
  <c r="I237" i="5"/>
  <c r="I242" i="5"/>
  <c r="J235" i="5"/>
  <c r="I235" i="5"/>
  <c r="J222" i="5"/>
  <c r="I222" i="5"/>
  <c r="J226" i="5"/>
  <c r="J223" i="5"/>
  <c r="I223" i="5"/>
  <c r="J217" i="5"/>
  <c r="I217" i="5"/>
  <c r="J216" i="5"/>
  <c r="I216" i="5"/>
  <c r="J215" i="5"/>
  <c r="I215" i="5"/>
  <c r="J438" i="5"/>
  <c r="O434" i="5"/>
  <c r="N434" i="5"/>
  <c r="M434" i="5"/>
  <c r="L434" i="5"/>
  <c r="K434" i="5"/>
  <c r="O172" i="5"/>
  <c r="N172" i="5"/>
  <c r="M172" i="5"/>
  <c r="L172" i="5"/>
  <c r="K172" i="5"/>
  <c r="F81" i="4"/>
  <c r="G81" i="4" s="1"/>
  <c r="H81" i="4" s="1"/>
  <c r="I81" i="4" s="1"/>
  <c r="J81" i="4" s="1"/>
  <c r="K81" i="4" s="1"/>
  <c r="E80" i="4"/>
  <c r="J452" i="5"/>
  <c r="F59" i="4"/>
  <c r="G59" i="4" s="1"/>
  <c r="H59" i="4" s="1"/>
  <c r="I59" i="4" s="1"/>
  <c r="J59" i="4" s="1"/>
  <c r="K59" i="4" s="1"/>
  <c r="E59" i="4"/>
  <c r="D59" i="4"/>
  <c r="F58" i="4"/>
  <c r="G58" i="4" s="1"/>
  <c r="H58" i="4" s="1"/>
  <c r="I58" i="4" s="1"/>
  <c r="J58" i="4" s="1"/>
  <c r="K58" i="4" s="1"/>
  <c r="E58" i="4"/>
  <c r="D58" i="4"/>
  <c r="C39" i="5"/>
  <c r="C38" i="5"/>
  <c r="C50" i="5" s="1"/>
  <c r="C37" i="5"/>
  <c r="C49" i="5" s="1"/>
  <c r="K27" i="4"/>
  <c r="J27" i="4"/>
  <c r="I27" i="4"/>
  <c r="H27" i="4"/>
  <c r="K26" i="4"/>
  <c r="J26" i="4"/>
  <c r="I26" i="4"/>
  <c r="H26" i="4"/>
  <c r="G27" i="4"/>
  <c r="G26" i="4"/>
  <c r="J33" i="10" l="1"/>
  <c r="J39" i="10"/>
  <c r="K26" i="5"/>
  <c r="H82" i="4"/>
  <c r="L78" i="5" s="1"/>
  <c r="I90" i="4"/>
  <c r="K82" i="5"/>
  <c r="F80" i="4"/>
  <c r="G80" i="4" s="1"/>
  <c r="H80" i="4" s="1"/>
  <c r="I80" i="4" s="1"/>
  <c r="J80" i="4" s="1"/>
  <c r="K80" i="4" s="1"/>
  <c r="I87" i="4"/>
  <c r="L82" i="5"/>
  <c r="I85" i="4"/>
  <c r="L81" i="5"/>
  <c r="I82" i="4"/>
  <c r="L10" i="5"/>
  <c r="I45" i="4"/>
  <c r="M10" i="5" s="1"/>
  <c r="K18" i="5"/>
  <c r="C51" i="5"/>
  <c r="H66" i="4"/>
  <c r="K28" i="5"/>
  <c r="M16" i="5"/>
  <c r="I46" i="4"/>
  <c r="L11" i="5"/>
  <c r="I51" i="4"/>
  <c r="L15" i="5"/>
  <c r="M14" i="5"/>
  <c r="J50" i="4"/>
  <c r="K52" i="4"/>
  <c r="O16" i="5" s="1"/>
  <c r="N16" i="5"/>
  <c r="M12" i="5"/>
  <c r="J47" i="4"/>
  <c r="G66" i="4"/>
  <c r="M26" i="5"/>
  <c r="D61" i="4"/>
  <c r="D68" i="4" s="1"/>
  <c r="J59" i="9"/>
  <c r="J54" i="9"/>
  <c r="I72" i="9"/>
  <c r="H72" i="9"/>
  <c r="I67" i="9"/>
  <c r="H65" i="9"/>
  <c r="J53" i="9"/>
  <c r="G67" i="9"/>
  <c r="J55" i="9"/>
  <c r="J73" i="9"/>
  <c r="L73" i="9" s="1"/>
  <c r="G74" i="9"/>
  <c r="G76" i="9" s="1"/>
  <c r="J66" i="9"/>
  <c r="L66" i="9" s="1"/>
  <c r="K24" i="5"/>
  <c r="E61" i="4"/>
  <c r="E68" i="4" s="1"/>
  <c r="F61" i="4"/>
  <c r="F68" i="4" s="1"/>
  <c r="K23" i="5"/>
  <c r="H93" i="5"/>
  <c r="K77" i="5"/>
  <c r="I93" i="5"/>
  <c r="D80" i="4"/>
  <c r="K34" i="4"/>
  <c r="J34" i="4"/>
  <c r="I34" i="4"/>
  <c r="H34" i="4"/>
  <c r="K33" i="4"/>
  <c r="J33" i="4"/>
  <c r="I33" i="4"/>
  <c r="H33" i="4"/>
  <c r="G34" i="4"/>
  <c r="G33" i="4"/>
  <c r="O185" i="5"/>
  <c r="N185" i="5"/>
  <c r="M185" i="5"/>
  <c r="L185" i="5"/>
  <c r="K185" i="5"/>
  <c r="K218" i="5"/>
  <c r="L218" i="5" s="1"/>
  <c r="M218" i="5" s="1"/>
  <c r="N218" i="5" s="1"/>
  <c r="O218" i="5" s="1"/>
  <c r="J127" i="5"/>
  <c r="J504" i="5" s="1"/>
  <c r="J90" i="4" l="1"/>
  <c r="K76" i="5"/>
  <c r="J87" i="4"/>
  <c r="M82" i="5"/>
  <c r="J85" i="4"/>
  <c r="M81" i="5"/>
  <c r="J45" i="4"/>
  <c r="N10" i="5" s="1"/>
  <c r="J82" i="4"/>
  <c r="M78" i="5"/>
  <c r="L18" i="5"/>
  <c r="K29" i="5"/>
  <c r="F69" i="4"/>
  <c r="I66" i="4"/>
  <c r="L28" i="5"/>
  <c r="M11" i="5"/>
  <c r="J46" i="4"/>
  <c r="J51" i="4"/>
  <c r="M15" i="5"/>
  <c r="N14" i="5"/>
  <c r="K50" i="4"/>
  <c r="O14" i="5" s="1"/>
  <c r="K47" i="4"/>
  <c r="O12" i="5" s="1"/>
  <c r="N12" i="5"/>
  <c r="N26" i="5"/>
  <c r="G68" i="9"/>
  <c r="I68" i="9"/>
  <c r="I74" i="9"/>
  <c r="I76" i="9" s="1"/>
  <c r="H74" i="9"/>
  <c r="H76" i="9" s="1"/>
  <c r="H68" i="9"/>
  <c r="J65" i="9"/>
  <c r="L65" i="9" s="1"/>
  <c r="J72" i="9"/>
  <c r="L72" i="9" s="1"/>
  <c r="L74" i="9" s="1"/>
  <c r="J67" i="9"/>
  <c r="L67" i="9" s="1"/>
  <c r="L24" i="5"/>
  <c r="G61" i="4"/>
  <c r="G68" i="4" s="1"/>
  <c r="G69" i="4" s="1"/>
  <c r="L77" i="5"/>
  <c r="L76" i="5"/>
  <c r="K22" i="5"/>
  <c r="K90" i="4" l="1"/>
  <c r="K45" i="4"/>
  <c r="O10" i="5" s="1"/>
  <c r="K87" i="4"/>
  <c r="O82" i="5" s="1"/>
  <c r="N82" i="5"/>
  <c r="K85" i="4"/>
  <c r="O81" i="5" s="1"/>
  <c r="N81" i="5"/>
  <c r="K82" i="4"/>
  <c r="O78" i="5" s="1"/>
  <c r="N78" i="5"/>
  <c r="M18" i="5"/>
  <c r="L29" i="5"/>
  <c r="K25" i="5"/>
  <c r="J66" i="4"/>
  <c r="M28" i="5"/>
  <c r="N11" i="5"/>
  <c r="K46" i="4"/>
  <c r="O11" i="5" s="1"/>
  <c r="N15" i="5"/>
  <c r="K51" i="4"/>
  <c r="O15" i="5" s="1"/>
  <c r="J74" i="9"/>
  <c r="J68" i="9"/>
  <c r="L68" i="9"/>
  <c r="L76" i="9" s="1"/>
  <c r="M24" i="5"/>
  <c r="H61" i="4"/>
  <c r="H68" i="4" s="1"/>
  <c r="H69" i="4" s="1"/>
  <c r="I61" i="4"/>
  <c r="I68" i="4" s="1"/>
  <c r="L23" i="5"/>
  <c r="M23" i="5"/>
  <c r="M76" i="5"/>
  <c r="M77" i="5"/>
  <c r="L22" i="5"/>
  <c r="N23" i="5"/>
  <c r="C45" i="5"/>
  <c r="C57" i="5" s="1"/>
  <c r="K23" i="4"/>
  <c r="J23" i="4"/>
  <c r="I23" i="4"/>
  <c r="H23" i="4"/>
  <c r="G23" i="4"/>
  <c r="H30" i="4"/>
  <c r="G30" i="4"/>
  <c r="L137" i="5"/>
  <c r="M137" i="5"/>
  <c r="N137" i="5"/>
  <c r="O137" i="5"/>
  <c r="K137" i="5"/>
  <c r="J437" i="5"/>
  <c r="J440" i="5" s="1"/>
  <c r="J477" i="5" s="1"/>
  <c r="K223" i="5"/>
  <c r="L223" i="5" s="1"/>
  <c r="M223" i="5" s="1"/>
  <c r="N223" i="5" s="1"/>
  <c r="O223" i="5" s="1"/>
  <c r="J389" i="5"/>
  <c r="K387" i="5" s="1"/>
  <c r="K391" i="5"/>
  <c r="L391" i="5" s="1"/>
  <c r="M391" i="5" s="1"/>
  <c r="N391" i="5" s="1"/>
  <c r="L388" i="5"/>
  <c r="L183" i="5" s="1"/>
  <c r="M388" i="5"/>
  <c r="M183" i="5" s="1"/>
  <c r="N388" i="5"/>
  <c r="N183" i="5" s="1"/>
  <c r="O388" i="5"/>
  <c r="O183" i="5" s="1"/>
  <c r="K388" i="5"/>
  <c r="K183" i="5" s="1"/>
  <c r="K450" i="5"/>
  <c r="K415" i="5"/>
  <c r="K412" i="5"/>
  <c r="K382" i="5"/>
  <c r="K344" i="5"/>
  <c r="L344" i="5"/>
  <c r="M344" i="5"/>
  <c r="N344" i="5"/>
  <c r="O344" i="5"/>
  <c r="K345" i="5"/>
  <c r="L345" i="5"/>
  <c r="M345" i="5"/>
  <c r="N345" i="5"/>
  <c r="O345" i="5"/>
  <c r="K346" i="5"/>
  <c r="L346" i="5"/>
  <c r="M346" i="5"/>
  <c r="N346" i="5"/>
  <c r="O346" i="5"/>
  <c r="K347" i="5"/>
  <c r="L347" i="5"/>
  <c r="M347" i="5"/>
  <c r="N347" i="5"/>
  <c r="O347" i="5"/>
  <c r="K348" i="5"/>
  <c r="L348" i="5"/>
  <c r="M348" i="5"/>
  <c r="N348" i="5"/>
  <c r="O348" i="5"/>
  <c r="K349" i="5"/>
  <c r="L349" i="5"/>
  <c r="M349" i="5"/>
  <c r="N349" i="5"/>
  <c r="O349" i="5"/>
  <c r="K350" i="5"/>
  <c r="L350" i="5"/>
  <c r="M350" i="5"/>
  <c r="N350" i="5"/>
  <c r="O350" i="5"/>
  <c r="K351" i="5"/>
  <c r="L351" i="5"/>
  <c r="M351" i="5"/>
  <c r="N351" i="5"/>
  <c r="O351" i="5"/>
  <c r="K316" i="5"/>
  <c r="K242" i="5"/>
  <c r="K224" i="5"/>
  <c r="L224" i="5" s="1"/>
  <c r="M224" i="5" s="1"/>
  <c r="N224" i="5" s="1"/>
  <c r="O224" i="5" s="1"/>
  <c r="L173" i="5"/>
  <c r="M173" i="5"/>
  <c r="N173" i="5"/>
  <c r="O173" i="5"/>
  <c r="K173" i="5"/>
  <c r="F290" i="5"/>
  <c r="K293" i="5" s="1"/>
  <c r="L293" i="5" s="1"/>
  <c r="M293" i="5" s="1"/>
  <c r="N293" i="5" s="1"/>
  <c r="O293" i="5" s="1"/>
  <c r="O184" i="5"/>
  <c r="N184" i="5"/>
  <c r="M184" i="5"/>
  <c r="L184" i="5"/>
  <c r="K184" i="5"/>
  <c r="I360" i="5"/>
  <c r="J360" i="5"/>
  <c r="J358" i="5"/>
  <c r="I358" i="5"/>
  <c r="O153" i="5"/>
  <c r="N153" i="5"/>
  <c r="M153" i="5"/>
  <c r="L153" i="5"/>
  <c r="K153" i="5"/>
  <c r="O141" i="5"/>
  <c r="N141" i="5"/>
  <c r="M141" i="5"/>
  <c r="L141" i="5"/>
  <c r="K141" i="5"/>
  <c r="J465" i="5"/>
  <c r="K463" i="5" s="1"/>
  <c r="K30" i="5" l="1"/>
  <c r="K112" i="5" s="1"/>
  <c r="N18" i="5"/>
  <c r="L25" i="5"/>
  <c r="M29" i="5"/>
  <c r="O28" i="5"/>
  <c r="N28" i="5"/>
  <c r="O26" i="5"/>
  <c r="I69" i="4"/>
  <c r="O24" i="5"/>
  <c r="N24" i="5"/>
  <c r="J61" i="4"/>
  <c r="J68" i="4" s="1"/>
  <c r="J69" i="4" s="1"/>
  <c r="O23" i="5"/>
  <c r="O77" i="5"/>
  <c r="N77" i="5"/>
  <c r="O76" i="5"/>
  <c r="N76" i="5"/>
  <c r="M22" i="5"/>
  <c r="J442" i="5"/>
  <c r="K437" i="5"/>
  <c r="K389" i="5"/>
  <c r="K392" i="5"/>
  <c r="O391" i="5"/>
  <c r="L242" i="5"/>
  <c r="M242" i="5" s="1"/>
  <c r="N242" i="5" s="1"/>
  <c r="O242" i="5" s="1"/>
  <c r="K464" i="5"/>
  <c r="M464" i="5"/>
  <c r="N464" i="5"/>
  <c r="L464" i="5"/>
  <c r="O464" i="5"/>
  <c r="F291" i="5"/>
  <c r="J10" i="10" l="1"/>
  <c r="J18" i="10" s="1"/>
  <c r="J41" i="10" s="1"/>
  <c r="K438" i="5"/>
  <c r="L30" i="5"/>
  <c r="L112" i="5" s="1"/>
  <c r="O18" i="5"/>
  <c r="K66" i="4"/>
  <c r="O29" i="5"/>
  <c r="N29" i="5"/>
  <c r="M25" i="5"/>
  <c r="K61" i="4"/>
  <c r="K441" i="5"/>
  <c r="L437" i="5"/>
  <c r="L441" i="5" s="1"/>
  <c r="N22" i="5"/>
  <c r="K439" i="5"/>
  <c r="M399" i="5"/>
  <c r="K192" i="5"/>
  <c r="N399" i="5"/>
  <c r="O192" i="5"/>
  <c r="L387" i="5"/>
  <c r="L392" i="5" s="1"/>
  <c r="K214" i="5"/>
  <c r="K399" i="5"/>
  <c r="O399" i="5"/>
  <c r="M192" i="5"/>
  <c r="N192" i="5"/>
  <c r="K440" i="5" l="1"/>
  <c r="M30" i="5"/>
  <c r="M112" i="5" s="1"/>
  <c r="K68" i="4"/>
  <c r="K69" i="4" s="1"/>
  <c r="N25" i="5"/>
  <c r="O22" i="5"/>
  <c r="L439" i="5"/>
  <c r="M437" i="5"/>
  <c r="L192" i="5"/>
  <c r="L399" i="5"/>
  <c r="K442" i="5"/>
  <c r="L389" i="5"/>
  <c r="K10" i="10" l="1"/>
  <c r="L438" i="5"/>
  <c r="L440" i="5" s="1"/>
  <c r="N30" i="5"/>
  <c r="N112" i="5" s="1"/>
  <c r="O25" i="5"/>
  <c r="M439" i="5"/>
  <c r="M441" i="5"/>
  <c r="N437" i="5"/>
  <c r="N439" i="5" s="1"/>
  <c r="M387" i="5"/>
  <c r="L214" i="5"/>
  <c r="O30" i="5" l="1"/>
  <c r="O112" i="5" s="1"/>
  <c r="L442" i="5"/>
  <c r="O437" i="5"/>
  <c r="O439" i="5" s="1"/>
  <c r="N441" i="5"/>
  <c r="M389" i="5"/>
  <c r="M392" i="5"/>
  <c r="J99" i="5"/>
  <c r="J46" i="5"/>
  <c r="J251" i="5"/>
  <c r="H251" i="5"/>
  <c r="I251" i="5"/>
  <c r="H244" i="5"/>
  <c r="I127" i="5"/>
  <c r="I130" i="5" s="1"/>
  <c r="H127" i="5"/>
  <c r="H130" i="5" s="1"/>
  <c r="L10" i="10" l="1"/>
  <c r="J15" i="10"/>
  <c r="J22" i="10" s="1"/>
  <c r="K431" i="5"/>
  <c r="I86" i="3"/>
  <c r="M438" i="5"/>
  <c r="M440" i="5" s="1"/>
  <c r="O441" i="5"/>
  <c r="J130" i="5"/>
  <c r="J480" i="5"/>
  <c r="J481" i="5" s="1"/>
  <c r="N387" i="5"/>
  <c r="M214" i="5"/>
  <c r="K243" i="5"/>
  <c r="L243" i="5" s="1"/>
  <c r="J93" i="5"/>
  <c r="J101" i="5" s="1"/>
  <c r="J244" i="5"/>
  <c r="I244" i="5"/>
  <c r="I195" i="5"/>
  <c r="J195" i="5"/>
  <c r="H195" i="5"/>
  <c r="K433" i="5" l="1"/>
  <c r="K458" i="5" s="1"/>
  <c r="K432" i="5"/>
  <c r="K446" i="5" s="1"/>
  <c r="K457" i="5"/>
  <c r="K447" i="5"/>
  <c r="L447" i="5"/>
  <c r="L457" i="5"/>
  <c r="M457" i="5"/>
  <c r="M447" i="5"/>
  <c r="N447" i="5"/>
  <c r="N457" i="5"/>
  <c r="O457" i="5"/>
  <c r="O447" i="5"/>
  <c r="M442" i="5"/>
  <c r="N389" i="5"/>
  <c r="N392" i="5"/>
  <c r="M243" i="5"/>
  <c r="N243" i="5" s="1"/>
  <c r="O243" i="5" s="1"/>
  <c r="M10" i="10" l="1"/>
  <c r="N438" i="5"/>
  <c r="N440" i="5" s="1"/>
  <c r="O387" i="5"/>
  <c r="N214" i="5"/>
  <c r="J118" i="5"/>
  <c r="I118" i="5"/>
  <c r="H118" i="5"/>
  <c r="H133" i="5" s="1"/>
  <c r="H138" i="5" s="1"/>
  <c r="H143" i="5" s="1"/>
  <c r="L450" i="5"/>
  <c r="M450" i="5" s="1"/>
  <c r="N450" i="5" s="1"/>
  <c r="O450" i="5" s="1"/>
  <c r="O412" i="5"/>
  <c r="O191" i="5" s="1"/>
  <c r="N412" i="5"/>
  <c r="N191" i="5" s="1"/>
  <c r="M412" i="5"/>
  <c r="M398" i="5" s="1"/>
  <c r="L412" i="5"/>
  <c r="L398" i="5" s="1"/>
  <c r="K398" i="5"/>
  <c r="K407" i="5"/>
  <c r="L382" i="5"/>
  <c r="O316" i="5"/>
  <c r="N316" i="5"/>
  <c r="M316" i="5"/>
  <c r="L316" i="5"/>
  <c r="E311" i="5"/>
  <c r="F266" i="5"/>
  <c r="F265" i="5"/>
  <c r="K268" i="5" s="1"/>
  <c r="K226" i="5"/>
  <c r="L226" i="5" s="1"/>
  <c r="O182" i="5"/>
  <c r="N182" i="5"/>
  <c r="M182" i="5"/>
  <c r="L182" i="5"/>
  <c r="K182" i="5"/>
  <c r="O132" i="5"/>
  <c r="N132" i="5"/>
  <c r="M132" i="5"/>
  <c r="L132" i="5"/>
  <c r="K132" i="5"/>
  <c r="A27" i="4"/>
  <c r="A26" i="4"/>
  <c r="C16" i="4"/>
  <c r="C34" i="4" s="1"/>
  <c r="C15" i="4"/>
  <c r="C14" i="4"/>
  <c r="G6" i="4"/>
  <c r="H6" i="4" s="1"/>
  <c r="T5" i="2"/>
  <c r="B1" i="2"/>
  <c r="J460" i="5"/>
  <c r="K455" i="5" s="1"/>
  <c r="J448" i="5"/>
  <c r="K445" i="5" s="1"/>
  <c r="K448" i="5" s="1"/>
  <c r="J413" i="5"/>
  <c r="J405" i="5"/>
  <c r="K403" i="5" s="1"/>
  <c r="J380" i="5"/>
  <c r="K378" i="5" s="1"/>
  <c r="K383" i="5" s="1"/>
  <c r="J361" i="5"/>
  <c r="I361" i="5"/>
  <c r="J359" i="5"/>
  <c r="I359" i="5"/>
  <c r="J357" i="5"/>
  <c r="I357" i="5"/>
  <c r="J356" i="5"/>
  <c r="I356" i="5"/>
  <c r="J355" i="5"/>
  <c r="I355" i="5"/>
  <c r="J354" i="5"/>
  <c r="I354" i="5"/>
  <c r="J341" i="5"/>
  <c r="I341" i="5"/>
  <c r="J238" i="5"/>
  <c r="J495" i="5" s="1"/>
  <c r="I238" i="5"/>
  <c r="H238" i="5"/>
  <c r="J227" i="5"/>
  <c r="I227" i="5"/>
  <c r="H227" i="5"/>
  <c r="J220" i="5"/>
  <c r="I220" i="5"/>
  <c r="H220" i="5"/>
  <c r="J186" i="5"/>
  <c r="I186" i="5"/>
  <c r="H186" i="5"/>
  <c r="J147" i="5"/>
  <c r="I147" i="5"/>
  <c r="H147" i="5"/>
  <c r="K30" i="4"/>
  <c r="O34" i="5" s="1"/>
  <c r="J30" i="4"/>
  <c r="N34" i="5" s="1"/>
  <c r="I30" i="4"/>
  <c r="M34" i="5" s="1"/>
  <c r="L34" i="5"/>
  <c r="K34" i="5"/>
  <c r="O33" i="5"/>
  <c r="N33" i="5"/>
  <c r="M33" i="5"/>
  <c r="L33" i="5"/>
  <c r="K33" i="5"/>
  <c r="K12" i="4"/>
  <c r="J12" i="4"/>
  <c r="I12" i="4"/>
  <c r="H12" i="4"/>
  <c r="G12" i="4"/>
  <c r="J51" i="3"/>
  <c r="K51" i="3" s="1"/>
  <c r="L51" i="3" s="1"/>
  <c r="M51" i="3" s="1"/>
  <c r="N51" i="3" s="1"/>
  <c r="J16" i="10" l="1"/>
  <c r="J23" i="10" s="1"/>
  <c r="M57" i="5"/>
  <c r="N57" i="5"/>
  <c r="L57" i="5"/>
  <c r="L56" i="5"/>
  <c r="M45" i="5"/>
  <c r="K45" i="5"/>
  <c r="O45" i="5"/>
  <c r="L45" i="5"/>
  <c r="K57" i="5"/>
  <c r="O57" i="5"/>
  <c r="N45" i="5"/>
  <c r="L54" i="5"/>
  <c r="L55" i="5"/>
  <c r="L52" i="5"/>
  <c r="L51" i="5"/>
  <c r="L50" i="5"/>
  <c r="M54" i="5"/>
  <c r="M55" i="5"/>
  <c r="M51" i="5"/>
  <c r="M56" i="5"/>
  <c r="M52" i="5"/>
  <c r="M50" i="5"/>
  <c r="N54" i="5"/>
  <c r="N51" i="5"/>
  <c r="N55" i="5"/>
  <c r="N56" i="5"/>
  <c r="N52" i="5"/>
  <c r="N50" i="5"/>
  <c r="K54" i="5"/>
  <c r="K55" i="5"/>
  <c r="K56" i="5"/>
  <c r="K51" i="5"/>
  <c r="K52" i="5"/>
  <c r="K50" i="5"/>
  <c r="O55" i="5"/>
  <c r="O51" i="5"/>
  <c r="O52" i="5"/>
  <c r="O56" i="5"/>
  <c r="O54" i="5"/>
  <c r="O50" i="5"/>
  <c r="K42" i="5"/>
  <c r="K43" i="5"/>
  <c r="K39" i="5"/>
  <c r="K44" i="5"/>
  <c r="K40" i="5"/>
  <c r="K38" i="5"/>
  <c r="L42" i="5"/>
  <c r="L43" i="5"/>
  <c r="L40" i="5"/>
  <c r="L44" i="5"/>
  <c r="L39" i="5"/>
  <c r="L38" i="5"/>
  <c r="M43" i="5"/>
  <c r="M42" i="5"/>
  <c r="M39" i="5"/>
  <c r="M44" i="5"/>
  <c r="M40" i="5"/>
  <c r="M38" i="5"/>
  <c r="O43" i="5"/>
  <c r="O40" i="5"/>
  <c r="O44" i="5"/>
  <c r="O39" i="5"/>
  <c r="O42" i="5"/>
  <c r="O38" i="5"/>
  <c r="N43" i="5"/>
  <c r="N42" i="5"/>
  <c r="N39" i="5"/>
  <c r="N40" i="5"/>
  <c r="N44" i="5"/>
  <c r="N38" i="5"/>
  <c r="M71" i="5"/>
  <c r="M70" i="5"/>
  <c r="M88" i="5" s="1"/>
  <c r="M124" i="5" s="1"/>
  <c r="N71" i="5"/>
  <c r="N70" i="5"/>
  <c r="N87" i="5" s="1"/>
  <c r="N123" i="5" s="1"/>
  <c r="K71" i="5"/>
  <c r="K70" i="5"/>
  <c r="K88" i="5" s="1"/>
  <c r="K124" i="5" s="1"/>
  <c r="O71" i="5"/>
  <c r="O70" i="5"/>
  <c r="O87" i="5" s="1"/>
  <c r="O123" i="5" s="1"/>
  <c r="L71" i="5"/>
  <c r="L70" i="5"/>
  <c r="L88" i="5" s="1"/>
  <c r="L124" i="5" s="1"/>
  <c r="I340" i="5"/>
  <c r="I133" i="5"/>
  <c r="I138" i="5" s="1"/>
  <c r="I143" i="5" s="1"/>
  <c r="O1" i="5"/>
  <c r="B1" i="3"/>
  <c r="B47" i="3" s="1"/>
  <c r="B1" i="8"/>
  <c r="C26" i="4"/>
  <c r="J494" i="5"/>
  <c r="J493" i="5"/>
  <c r="N442" i="5"/>
  <c r="J340" i="5"/>
  <c r="O389" i="5"/>
  <c r="O214" i="5" s="1"/>
  <c r="O392" i="5"/>
  <c r="J362" i="5"/>
  <c r="I362" i="5"/>
  <c r="L415" i="5"/>
  <c r="M415" i="5" s="1"/>
  <c r="N415" i="5" s="1"/>
  <c r="K248" i="5"/>
  <c r="C32" i="4"/>
  <c r="H246" i="5"/>
  <c r="H253" i="5" s="1"/>
  <c r="L191" i="5"/>
  <c r="M186" i="5"/>
  <c r="M397" i="5" s="1"/>
  <c r="J229" i="5"/>
  <c r="J503" i="5" s="1"/>
  <c r="N398" i="5"/>
  <c r="O398" i="5"/>
  <c r="H158" i="5"/>
  <c r="Y12" i="2"/>
  <c r="Y13" i="2" s="1"/>
  <c r="I246" i="5"/>
  <c r="I253" i="5" s="1"/>
  <c r="K408" i="5"/>
  <c r="AA12" i="2"/>
  <c r="H229" i="5"/>
  <c r="I229" i="5"/>
  <c r="Z12" i="2"/>
  <c r="I6" i="4"/>
  <c r="L7" i="5"/>
  <c r="K7" i="5"/>
  <c r="L186" i="5"/>
  <c r="L397" i="5" s="1"/>
  <c r="M226" i="5"/>
  <c r="N226" i="5" s="1"/>
  <c r="O226" i="5" s="1"/>
  <c r="O186" i="5"/>
  <c r="O397" i="5" s="1"/>
  <c r="K191" i="5"/>
  <c r="L407" i="5"/>
  <c r="M407" i="5" s="1"/>
  <c r="M191" i="5"/>
  <c r="N186" i="5"/>
  <c r="N397" i="5" s="1"/>
  <c r="K186" i="5"/>
  <c r="K397" i="5" s="1"/>
  <c r="J133" i="5"/>
  <c r="M382" i="5"/>
  <c r="L268" i="5"/>
  <c r="J246" i="5"/>
  <c r="J253" i="5" s="1"/>
  <c r="D319" i="5"/>
  <c r="D322" i="5"/>
  <c r="K411" i="5"/>
  <c r="K416" i="5" s="1"/>
  <c r="J478" i="5"/>
  <c r="J479" i="5" s="1"/>
  <c r="C25" i="4"/>
  <c r="C27" i="4"/>
  <c r="C33" i="4"/>
  <c r="J482" i="5" l="1"/>
  <c r="J489" i="5"/>
  <c r="N10" i="10"/>
  <c r="J26" i="10"/>
  <c r="K288" i="5"/>
  <c r="D296" i="5" s="1"/>
  <c r="D297" i="5" s="1"/>
  <c r="K7" i="10"/>
  <c r="O62" i="5"/>
  <c r="O1" i="10"/>
  <c r="L288" i="5"/>
  <c r="L7" i="10"/>
  <c r="L86" i="5"/>
  <c r="L122" i="5" s="1"/>
  <c r="N92" i="5"/>
  <c r="N126" i="5" s="1"/>
  <c r="O98" i="5"/>
  <c r="O97" i="5"/>
  <c r="M86" i="5"/>
  <c r="M122" i="5" s="1"/>
  <c r="N98" i="5"/>
  <c r="N97" i="5"/>
  <c r="L98" i="5"/>
  <c r="L97" i="5"/>
  <c r="K98" i="5"/>
  <c r="K129" i="5" s="1"/>
  <c r="K97" i="5"/>
  <c r="M98" i="5"/>
  <c r="M97" i="5"/>
  <c r="O92" i="5"/>
  <c r="O126" i="5" s="1"/>
  <c r="N88" i="5"/>
  <c r="N124" i="5" s="1"/>
  <c r="O86" i="5"/>
  <c r="O122" i="5" s="1"/>
  <c r="N90" i="5"/>
  <c r="N125" i="5" s="1"/>
  <c r="O88" i="5"/>
  <c r="O124" i="5" s="1"/>
  <c r="N86" i="5"/>
  <c r="N122" i="5" s="1"/>
  <c r="K90" i="5"/>
  <c r="K125" i="5" s="1"/>
  <c r="M90" i="5"/>
  <c r="M125" i="5" s="1"/>
  <c r="M87" i="5"/>
  <c r="M123" i="5" s="1"/>
  <c r="L92" i="5"/>
  <c r="L126" i="5" s="1"/>
  <c r="K92" i="5"/>
  <c r="K126" i="5" s="1"/>
  <c r="M92" i="5"/>
  <c r="M126" i="5" s="1"/>
  <c r="L90" i="5"/>
  <c r="L125" i="5" s="1"/>
  <c r="L87" i="5"/>
  <c r="L123" i="5" s="1"/>
  <c r="K87" i="5"/>
  <c r="K123" i="5" s="1"/>
  <c r="O90" i="5"/>
  <c r="O125" i="5" s="1"/>
  <c r="K86" i="5"/>
  <c r="K122" i="5" s="1"/>
  <c r="K128" i="5"/>
  <c r="O115" i="5"/>
  <c r="L116" i="5"/>
  <c r="K115" i="5"/>
  <c r="M115" i="5"/>
  <c r="J138" i="5"/>
  <c r="J490" i="5" s="1"/>
  <c r="J158" i="5"/>
  <c r="L115" i="5"/>
  <c r="N115" i="5"/>
  <c r="O58" i="5"/>
  <c r="O116" i="5"/>
  <c r="N58" i="5"/>
  <c r="N116" i="5"/>
  <c r="K116" i="5"/>
  <c r="K58" i="5"/>
  <c r="M58" i="5"/>
  <c r="M116" i="5"/>
  <c r="L58" i="5"/>
  <c r="I254" i="5"/>
  <c r="O438" i="5"/>
  <c r="O440" i="5" s="1"/>
  <c r="O104" i="5"/>
  <c r="O367" i="5"/>
  <c r="O163" i="5"/>
  <c r="O305" i="5"/>
  <c r="O329" i="5"/>
  <c r="O204" i="5"/>
  <c r="O422" i="5"/>
  <c r="O468" i="5"/>
  <c r="O257" i="5"/>
  <c r="O282" i="5"/>
  <c r="B1" i="4"/>
  <c r="B38" i="4" s="1"/>
  <c r="B74" i="4" s="1"/>
  <c r="Z13" i="2"/>
  <c r="AA13" i="2"/>
  <c r="K46" i="5"/>
  <c r="K117" i="5"/>
  <c r="K419" i="5"/>
  <c r="K142" i="5" s="1"/>
  <c r="Z16" i="2"/>
  <c r="AA16" i="2"/>
  <c r="L445" i="5"/>
  <c r="K428" i="5"/>
  <c r="G42" i="4"/>
  <c r="L68" i="5"/>
  <c r="H42" i="4"/>
  <c r="J254" i="5"/>
  <c r="L210" i="5"/>
  <c r="L169" i="5"/>
  <c r="L474" i="5"/>
  <c r="L110" i="5"/>
  <c r="I158" i="5"/>
  <c r="K474" i="5"/>
  <c r="L373" i="5"/>
  <c r="L311" i="5"/>
  <c r="L335" i="5"/>
  <c r="Y16" i="2"/>
  <c r="Y18" i="2" s="1"/>
  <c r="L428" i="5"/>
  <c r="H254" i="5"/>
  <c r="K68" i="5"/>
  <c r="K110" i="5"/>
  <c r="AB7" i="2"/>
  <c r="L7" i="2" s="1"/>
  <c r="L28" i="2" s="1"/>
  <c r="L49" i="2" s="1"/>
  <c r="K263" i="5"/>
  <c r="K311" i="5"/>
  <c r="J7" i="5"/>
  <c r="K210" i="5"/>
  <c r="K335" i="5"/>
  <c r="L263" i="5"/>
  <c r="AC7" i="2"/>
  <c r="M7" i="2" s="1"/>
  <c r="M28" i="2" s="1"/>
  <c r="M49" i="2" s="1"/>
  <c r="K169" i="5"/>
  <c r="K373" i="5"/>
  <c r="J6" i="4"/>
  <c r="M7" i="5"/>
  <c r="K413" i="5"/>
  <c r="N407" i="5"/>
  <c r="J364" i="5"/>
  <c r="O415" i="5"/>
  <c r="N382" i="5"/>
  <c r="J484" i="5"/>
  <c r="J488" i="5" s="1"/>
  <c r="M268" i="5"/>
  <c r="J27" i="10" l="1"/>
  <c r="M7" i="10"/>
  <c r="F42" i="4"/>
  <c r="J7" i="10"/>
  <c r="J143" i="5"/>
  <c r="J149" i="5" s="1"/>
  <c r="B2" i="5"/>
  <c r="Z17" i="2"/>
  <c r="Z18" i="2"/>
  <c r="AA17" i="2"/>
  <c r="AA18" i="2"/>
  <c r="K93" i="5"/>
  <c r="K127" i="5" s="1"/>
  <c r="L46" i="5"/>
  <c r="L117" i="5"/>
  <c r="O442" i="5"/>
  <c r="D271" i="5"/>
  <c r="E271" i="5" s="1"/>
  <c r="L271" i="5" s="1"/>
  <c r="K296" i="5"/>
  <c r="K302" i="5" s="1"/>
  <c r="K136" i="5" s="1"/>
  <c r="I42" i="4"/>
  <c r="M288" i="5"/>
  <c r="L296" i="5"/>
  <c r="B36" i="5"/>
  <c r="J288" i="5"/>
  <c r="D298" i="5"/>
  <c r="L297" i="5"/>
  <c r="K99" i="5"/>
  <c r="L128" i="5"/>
  <c r="J68" i="5"/>
  <c r="H149" i="5"/>
  <c r="H171" i="5" s="1"/>
  <c r="H178" i="5" s="1"/>
  <c r="H200" i="5" s="1"/>
  <c r="I159" i="5"/>
  <c r="I149" i="5"/>
  <c r="I171" i="5" s="1"/>
  <c r="I178" i="5" s="1"/>
  <c r="I7" i="5"/>
  <c r="H159" i="5"/>
  <c r="J210" i="5"/>
  <c r="J263" i="5"/>
  <c r="J335" i="5"/>
  <c r="K337" i="5" s="1"/>
  <c r="J169" i="5"/>
  <c r="J373" i="5"/>
  <c r="L337" i="5"/>
  <c r="Y17" i="2"/>
  <c r="AD7" i="2"/>
  <c r="N7" i="2" s="1"/>
  <c r="N28" i="2" s="1"/>
  <c r="N49" i="2" s="1"/>
  <c r="M169" i="5"/>
  <c r="M68" i="5"/>
  <c r="M311" i="5"/>
  <c r="M373" i="5"/>
  <c r="M210" i="5"/>
  <c r="M263" i="5"/>
  <c r="M110" i="5"/>
  <c r="M474" i="5"/>
  <c r="M335" i="5"/>
  <c r="M337" i="5" s="1"/>
  <c r="M428" i="5"/>
  <c r="K6" i="4"/>
  <c r="N7" i="5"/>
  <c r="J428" i="5"/>
  <c r="AA7" i="2"/>
  <c r="K7" i="2" s="1"/>
  <c r="K28" i="2" s="1"/>
  <c r="K49" i="2" s="1"/>
  <c r="J474" i="5"/>
  <c r="J110" i="5"/>
  <c r="N268" i="5"/>
  <c r="J159" i="5"/>
  <c r="O382" i="5"/>
  <c r="O407" i="5"/>
  <c r="L411" i="5"/>
  <c r="K241" i="5"/>
  <c r="O10" i="10" l="1"/>
  <c r="I7" i="10"/>
  <c r="B2" i="10"/>
  <c r="N7" i="10"/>
  <c r="B164" i="5"/>
  <c r="B306" i="5"/>
  <c r="B258" i="5"/>
  <c r="B330" i="5"/>
  <c r="B105" i="5"/>
  <c r="E42" i="4"/>
  <c r="B423" i="5"/>
  <c r="B469" i="5"/>
  <c r="B368" i="5"/>
  <c r="B205" i="5"/>
  <c r="B63" i="5"/>
  <c r="B283" i="5"/>
  <c r="J498" i="5"/>
  <c r="J171" i="5"/>
  <c r="J178" i="5" s="1"/>
  <c r="J483" i="5" s="1"/>
  <c r="K101" i="5"/>
  <c r="M46" i="5"/>
  <c r="M117" i="5"/>
  <c r="L93" i="5"/>
  <c r="D272" i="5"/>
  <c r="D273" i="5" s="1"/>
  <c r="J500" i="5"/>
  <c r="J499" i="5"/>
  <c r="K225" i="5"/>
  <c r="L302" i="5"/>
  <c r="L136" i="5" s="1"/>
  <c r="Z7" i="2"/>
  <c r="J7" i="2" s="1"/>
  <c r="J28" i="2" s="1"/>
  <c r="J49" i="2" s="1"/>
  <c r="I288" i="5"/>
  <c r="M297" i="5"/>
  <c r="M296" i="5"/>
  <c r="J42" i="4"/>
  <c r="N288" i="5"/>
  <c r="D299" i="5"/>
  <c r="M298" i="5"/>
  <c r="K130" i="5"/>
  <c r="L129" i="5"/>
  <c r="M128" i="5"/>
  <c r="L99" i="5"/>
  <c r="I110" i="5"/>
  <c r="I68" i="5"/>
  <c r="I335" i="5"/>
  <c r="J337" i="5" s="1"/>
  <c r="I263" i="5"/>
  <c r="H7" i="5"/>
  <c r="I210" i="5"/>
  <c r="Y21" i="2"/>
  <c r="Y23" i="2" s="1"/>
  <c r="H201" i="5"/>
  <c r="I199" i="5" s="1"/>
  <c r="H155" i="5"/>
  <c r="Z21" i="2"/>
  <c r="I200" i="5"/>
  <c r="I155" i="5"/>
  <c r="J155" i="5"/>
  <c r="I169" i="5"/>
  <c r="I474" i="5"/>
  <c r="J160" i="5"/>
  <c r="AA21" i="2"/>
  <c r="N68" i="5"/>
  <c r="AE7" i="2"/>
  <c r="O7" i="2" s="1"/>
  <c r="O28" i="2" s="1"/>
  <c r="O49" i="2" s="1"/>
  <c r="N263" i="5"/>
  <c r="N169" i="5"/>
  <c r="N210" i="5"/>
  <c r="N428" i="5"/>
  <c r="N110" i="5"/>
  <c r="N373" i="5"/>
  <c r="N335" i="5"/>
  <c r="N337" i="5" s="1"/>
  <c r="N311" i="5"/>
  <c r="N474" i="5"/>
  <c r="O7" i="5"/>
  <c r="O268" i="5"/>
  <c r="L413" i="5"/>
  <c r="L416" i="5"/>
  <c r="K271" i="5"/>
  <c r="K277" i="5" s="1"/>
  <c r="M271" i="5"/>
  <c r="J17" i="10" l="1"/>
  <c r="J40" i="10" s="1"/>
  <c r="O7" i="10"/>
  <c r="D42" i="4"/>
  <c r="H7" i="10"/>
  <c r="K279" i="5"/>
  <c r="K135" i="5" s="1"/>
  <c r="K278" i="5"/>
  <c r="K174" i="5"/>
  <c r="J350" i="5"/>
  <c r="J344" i="5"/>
  <c r="H210" i="5"/>
  <c r="AA23" i="2"/>
  <c r="L127" i="5"/>
  <c r="Z22" i="2"/>
  <c r="Z23" i="2"/>
  <c r="M93" i="5"/>
  <c r="M127" i="5" s="1"/>
  <c r="N46" i="5"/>
  <c r="N117" i="5"/>
  <c r="L101" i="5"/>
  <c r="E272" i="5"/>
  <c r="L272" i="5" s="1"/>
  <c r="L277" i="5" s="1"/>
  <c r="J200" i="5"/>
  <c r="L225" i="5"/>
  <c r="K222" i="5"/>
  <c r="M302" i="5"/>
  <c r="M136" i="5" s="1"/>
  <c r="N271" i="5"/>
  <c r="N296" i="5"/>
  <c r="N297" i="5"/>
  <c r="N298" i="5"/>
  <c r="H335" i="5"/>
  <c r="I337" i="5" s="1"/>
  <c r="I344" i="5" s="1"/>
  <c r="H288" i="5"/>
  <c r="N299" i="5"/>
  <c r="D300" i="5"/>
  <c r="K42" i="4"/>
  <c r="O288" i="5"/>
  <c r="J349" i="5"/>
  <c r="J348" i="5"/>
  <c r="M129" i="5"/>
  <c r="N128" i="5"/>
  <c r="M99" i="5"/>
  <c r="H110" i="5"/>
  <c r="H263" i="5"/>
  <c r="H68" i="5"/>
  <c r="H474" i="5"/>
  <c r="Y7" i="2"/>
  <c r="I7" i="2" s="1"/>
  <c r="I28" i="2" s="1"/>
  <c r="I49" i="2" s="1"/>
  <c r="H169" i="5"/>
  <c r="I201" i="5"/>
  <c r="J199" i="5" s="1"/>
  <c r="Y22" i="2"/>
  <c r="J351" i="5"/>
  <c r="J346" i="5"/>
  <c r="J347" i="5"/>
  <c r="J345" i="5"/>
  <c r="K118" i="5"/>
  <c r="AA22" i="2"/>
  <c r="O110" i="5"/>
  <c r="O474" i="5"/>
  <c r="O428" i="5"/>
  <c r="O68" i="5"/>
  <c r="O311" i="5"/>
  <c r="O263" i="5"/>
  <c r="O169" i="5"/>
  <c r="O373" i="5"/>
  <c r="O210" i="5"/>
  <c r="O335" i="5"/>
  <c r="O337" i="5" s="1"/>
  <c r="D274" i="5"/>
  <c r="E273" i="5"/>
  <c r="M273" i="5" s="1"/>
  <c r="M411" i="5"/>
  <c r="L241" i="5"/>
  <c r="J24" i="10" l="1"/>
  <c r="K16" i="10"/>
  <c r="K23" i="10" s="1"/>
  <c r="L279" i="5"/>
  <c r="L135" i="5" s="1"/>
  <c r="L278" i="5"/>
  <c r="L174" i="5"/>
  <c r="M101" i="5"/>
  <c r="O117" i="5"/>
  <c r="O46" i="5"/>
  <c r="N93" i="5"/>
  <c r="N127" i="5" s="1"/>
  <c r="M272" i="5"/>
  <c r="M277" i="5" s="1"/>
  <c r="N272" i="5"/>
  <c r="L222" i="5"/>
  <c r="AB12" i="2"/>
  <c r="AB13" i="2" s="1"/>
  <c r="K227" i="5"/>
  <c r="J201" i="5"/>
  <c r="K199" i="5" s="1"/>
  <c r="M225" i="5"/>
  <c r="N302" i="5" s="1"/>
  <c r="N136" i="5" s="1"/>
  <c r="O271" i="5"/>
  <c r="O299" i="5"/>
  <c r="O298" i="5"/>
  <c r="O297" i="5"/>
  <c r="O296" i="5"/>
  <c r="O300" i="5"/>
  <c r="I350" i="5"/>
  <c r="I349" i="5"/>
  <c r="I347" i="5"/>
  <c r="I348" i="5"/>
  <c r="N129" i="5"/>
  <c r="O129" i="5"/>
  <c r="N99" i="5"/>
  <c r="K340" i="5"/>
  <c r="K354" i="5" s="1"/>
  <c r="I345" i="5"/>
  <c r="I351" i="5"/>
  <c r="I346" i="5"/>
  <c r="L118" i="5"/>
  <c r="O272" i="5"/>
  <c r="N273" i="5"/>
  <c r="M413" i="5"/>
  <c r="M416" i="5"/>
  <c r="D275" i="5"/>
  <c r="E274" i="5"/>
  <c r="O274" i="5" s="1"/>
  <c r="K341" i="5"/>
  <c r="K133" i="5"/>
  <c r="K138" i="5" s="1"/>
  <c r="O273" i="5"/>
  <c r="L16" i="10" l="1"/>
  <c r="L23" i="10" s="1"/>
  <c r="M279" i="5"/>
  <c r="M135" i="5" s="1"/>
  <c r="M278" i="5"/>
  <c r="M174" i="5"/>
  <c r="K143" i="5"/>
  <c r="K490" i="5"/>
  <c r="N101" i="5"/>
  <c r="O93" i="5"/>
  <c r="O127" i="5" s="1"/>
  <c r="AC12" i="2"/>
  <c r="AC13" i="2" s="1"/>
  <c r="M222" i="5"/>
  <c r="L227" i="5"/>
  <c r="N225" i="5"/>
  <c r="O302" i="5"/>
  <c r="O136" i="5" s="1"/>
  <c r="K358" i="5"/>
  <c r="K234" i="5" s="1"/>
  <c r="K359" i="5"/>
  <c r="K235" i="5" s="1"/>
  <c r="K360" i="5"/>
  <c r="K236" i="5" s="1"/>
  <c r="K215" i="5"/>
  <c r="AB16" i="2"/>
  <c r="AB18" i="2" s="1"/>
  <c r="K158" i="5"/>
  <c r="O99" i="5"/>
  <c r="O128" i="5"/>
  <c r="L340" i="5"/>
  <c r="L354" i="5" s="1"/>
  <c r="M118" i="5"/>
  <c r="K484" i="5"/>
  <c r="E275" i="5"/>
  <c r="O275" i="5" s="1"/>
  <c r="O277" i="5" s="1"/>
  <c r="N274" i="5"/>
  <c r="N277" i="5" s="1"/>
  <c r="K361" i="5"/>
  <c r="K237" i="5" s="1"/>
  <c r="K355" i="5"/>
  <c r="K356" i="5"/>
  <c r="K217" i="5" s="1"/>
  <c r="K357" i="5"/>
  <c r="K219" i="5" s="1"/>
  <c r="M241" i="5"/>
  <c r="N411" i="5"/>
  <c r="M16" i="10" l="1"/>
  <c r="M23" i="10" s="1"/>
  <c r="O279" i="5"/>
  <c r="O135" i="5" s="1"/>
  <c r="O278" i="5"/>
  <c r="N279" i="5"/>
  <c r="N135" i="5" s="1"/>
  <c r="N278" i="5"/>
  <c r="N174" i="5"/>
  <c r="O174" i="5"/>
  <c r="K314" i="5"/>
  <c r="O101" i="5"/>
  <c r="AD12" i="2"/>
  <c r="AD13" i="2" s="1"/>
  <c r="N222" i="5"/>
  <c r="O222" i="5" s="1"/>
  <c r="M227" i="5"/>
  <c r="K362" i="5"/>
  <c r="K364" i="5" s="1"/>
  <c r="O225" i="5"/>
  <c r="L215" i="5"/>
  <c r="AB17" i="2"/>
  <c r="M340" i="5"/>
  <c r="M354" i="5" s="1"/>
  <c r="N118" i="5"/>
  <c r="K216" i="5"/>
  <c r="N413" i="5"/>
  <c r="N416" i="5"/>
  <c r="O118" i="5"/>
  <c r="K159" i="5"/>
  <c r="O16" i="10" l="1"/>
  <c r="O23" i="10" s="1"/>
  <c r="N16" i="10"/>
  <c r="N23" i="10" s="1"/>
  <c r="K504" i="5"/>
  <c r="AE12" i="2"/>
  <c r="AE13" i="2" s="1"/>
  <c r="N227" i="5"/>
  <c r="M215" i="5"/>
  <c r="N340" i="5"/>
  <c r="N354" i="5" s="1"/>
  <c r="K319" i="5"/>
  <c r="K176" i="5"/>
  <c r="O411" i="5"/>
  <c r="N241" i="5"/>
  <c r="O340" i="5"/>
  <c r="O354" i="5" s="1"/>
  <c r="O227" i="5" l="1"/>
  <c r="N215" i="5"/>
  <c r="K317" i="5"/>
  <c r="K322" i="5" s="1"/>
  <c r="K323" i="5" s="1"/>
  <c r="O215" i="5"/>
  <c r="O413" i="5"/>
  <c r="O416" i="5"/>
  <c r="K145" i="5" l="1"/>
  <c r="O241" i="5"/>
  <c r="K324" i="5" l="1"/>
  <c r="K240" i="5"/>
  <c r="K146" i="5"/>
  <c r="K175" i="5" s="1"/>
  <c r="K244" i="5" l="1"/>
  <c r="K147" i="5"/>
  <c r="K149" i="5" s="1"/>
  <c r="K498" i="5" s="1"/>
  <c r="K171" i="5" l="1"/>
  <c r="K178" i="5" s="1"/>
  <c r="K483" i="5" s="1"/>
  <c r="AB21" i="2"/>
  <c r="AB23" i="2" s="1"/>
  <c r="K155" i="5"/>
  <c r="K456" i="5"/>
  <c r="K451" i="5"/>
  <c r="K452" i="5" s="1"/>
  <c r="K18" i="10" l="1"/>
  <c r="K17" i="10"/>
  <c r="K13" i="10"/>
  <c r="K14" i="10"/>
  <c r="K459" i="5"/>
  <c r="K460" i="5" s="1"/>
  <c r="L455" i="5" s="1"/>
  <c r="K396" i="5"/>
  <c r="K465" i="5"/>
  <c r="K250" i="5" s="1"/>
  <c r="AB22" i="2"/>
  <c r="K193" i="5"/>
  <c r="K24" i="10" l="1"/>
  <c r="K33" i="10"/>
  <c r="K31" i="10"/>
  <c r="K40" i="10" s="1"/>
  <c r="K21" i="10"/>
  <c r="L463" i="5"/>
  <c r="K400" i="5"/>
  <c r="K401" i="5" s="1"/>
  <c r="K249" i="5"/>
  <c r="K39" i="10" l="1"/>
  <c r="K41" i="10"/>
  <c r="K32" i="10"/>
  <c r="K477" i="5"/>
  <c r="K404" i="5"/>
  <c r="K190" i="5" s="1"/>
  <c r="K195" i="5" s="1"/>
  <c r="K200" i="5" s="1"/>
  <c r="K201" i="5" s="1"/>
  <c r="K213" i="5" s="1"/>
  <c r="K251" i="5"/>
  <c r="K15" i="10" l="1"/>
  <c r="K22" i="10" s="1"/>
  <c r="K500" i="5"/>
  <c r="L431" i="5"/>
  <c r="K379" i="5"/>
  <c r="K380" i="5" s="1"/>
  <c r="L378" i="5" s="1"/>
  <c r="L383" i="5" s="1"/>
  <c r="K405" i="5"/>
  <c r="K478" i="5" s="1"/>
  <c r="K488" i="5" s="1"/>
  <c r="K480" i="5"/>
  <c r="K481" i="5" s="1"/>
  <c r="K160" i="5"/>
  <c r="L199" i="5"/>
  <c r="N130" i="5"/>
  <c r="N133" i="5" s="1"/>
  <c r="N138" i="5" s="1"/>
  <c r="N341" i="5"/>
  <c r="M130" i="5"/>
  <c r="M133" i="5" s="1"/>
  <c r="M138" i="5" s="1"/>
  <c r="O341" i="5"/>
  <c r="M341" i="5"/>
  <c r="L130" i="5"/>
  <c r="L133" i="5" s="1"/>
  <c r="L138" i="5" s="1"/>
  <c r="L432" i="5" l="1"/>
  <c r="L446" i="5" s="1"/>
  <c r="L448" i="5" s="1"/>
  <c r="L248" i="5" s="1"/>
  <c r="L433" i="5"/>
  <c r="L458" i="5" s="1"/>
  <c r="K233" i="5"/>
  <c r="K238" i="5" s="1"/>
  <c r="K246" i="5" s="1"/>
  <c r="K253" i="5" s="1"/>
  <c r="K479" i="5"/>
  <c r="L403" i="5"/>
  <c r="L408" i="5" s="1"/>
  <c r="L419" i="5" s="1"/>
  <c r="K220" i="5"/>
  <c r="L484" i="5"/>
  <c r="M360" i="5"/>
  <c r="M236" i="5" s="1"/>
  <c r="M359" i="5"/>
  <c r="M235" i="5" s="1"/>
  <c r="O359" i="5"/>
  <c r="O235" i="5" s="1"/>
  <c r="O360" i="5"/>
  <c r="O236" i="5" s="1"/>
  <c r="N359" i="5"/>
  <c r="N235" i="5" s="1"/>
  <c r="N360" i="5"/>
  <c r="N236" i="5" s="1"/>
  <c r="O356" i="5"/>
  <c r="O217" i="5" s="1"/>
  <c r="O358" i="5"/>
  <c r="O234" i="5" s="1"/>
  <c r="M361" i="5"/>
  <c r="M237" i="5" s="1"/>
  <c r="M358" i="5"/>
  <c r="M234" i="5" s="1"/>
  <c r="N357" i="5"/>
  <c r="N219" i="5" s="1"/>
  <c r="N358" i="5"/>
  <c r="N234" i="5" s="1"/>
  <c r="O361" i="5"/>
  <c r="O237" i="5" s="1"/>
  <c r="N356" i="5"/>
  <c r="N217" i="5" s="1"/>
  <c r="N158" i="5"/>
  <c r="AE16" i="2"/>
  <c r="M357" i="5"/>
  <c r="M219" i="5" s="1"/>
  <c r="M355" i="5"/>
  <c r="M158" i="5"/>
  <c r="AD16" i="2"/>
  <c r="M484" i="5"/>
  <c r="L158" i="5"/>
  <c r="AC16" i="2"/>
  <c r="AC18" i="2" s="1"/>
  <c r="L341" i="5"/>
  <c r="M356" i="5"/>
  <c r="M217" i="5" s="1"/>
  <c r="N355" i="5"/>
  <c r="N361" i="5"/>
  <c r="N237" i="5" s="1"/>
  <c r="O130" i="5"/>
  <c r="O133" i="5" s="1"/>
  <c r="O138" i="5" s="1"/>
  <c r="O357" i="5"/>
  <c r="O219" i="5" s="1"/>
  <c r="N484" i="5"/>
  <c r="O355" i="5"/>
  <c r="K489" i="5" l="1"/>
  <c r="K482" i="5"/>
  <c r="M445" i="5"/>
  <c r="K495" i="5"/>
  <c r="L142" i="5"/>
  <c r="AD18" i="2"/>
  <c r="AE17" i="2"/>
  <c r="AE18" i="2"/>
  <c r="K229" i="5"/>
  <c r="K494" i="5"/>
  <c r="K493" i="5"/>
  <c r="M362" i="5"/>
  <c r="L358" i="5"/>
  <c r="L234" i="5" s="1"/>
  <c r="L359" i="5"/>
  <c r="L235" i="5" s="1"/>
  <c r="L360" i="5"/>
  <c r="L236" i="5" s="1"/>
  <c r="O362" i="5"/>
  <c r="N362" i="5"/>
  <c r="M216" i="5"/>
  <c r="M159" i="5"/>
  <c r="O216" i="5"/>
  <c r="L356" i="5"/>
  <c r="L217" i="5" s="1"/>
  <c r="L361" i="5"/>
  <c r="L237" i="5" s="1"/>
  <c r="L357" i="5"/>
  <c r="L219" i="5" s="1"/>
  <c r="L355" i="5"/>
  <c r="AC17" i="2"/>
  <c r="AD17" i="2"/>
  <c r="N216" i="5"/>
  <c r="N159" i="5"/>
  <c r="L159" i="5"/>
  <c r="O484" i="5"/>
  <c r="O158" i="5"/>
  <c r="K27" i="10" l="1"/>
  <c r="K26" i="10"/>
  <c r="K503" i="5"/>
  <c r="K254" i="5"/>
  <c r="L490" i="5"/>
  <c r="L143" i="5"/>
  <c r="L314" i="5" s="1"/>
  <c r="N504" i="5"/>
  <c r="O504" i="5"/>
  <c r="K499" i="5"/>
  <c r="L362" i="5"/>
  <c r="M364" i="5" s="1"/>
  <c r="N364" i="5"/>
  <c r="N176" i="5" s="1"/>
  <c r="O364" i="5"/>
  <c r="O176" i="5" s="1"/>
  <c r="O159" i="5"/>
  <c r="L216" i="5"/>
  <c r="M504" i="5" l="1"/>
  <c r="L504" i="5"/>
  <c r="L364" i="5"/>
  <c r="L176" i="5" s="1"/>
  <c r="M176" i="5"/>
  <c r="L317" i="5"/>
  <c r="L322" i="5" s="1"/>
  <c r="L319" i="5"/>
  <c r="L323" i="5" l="1"/>
  <c r="L240" i="5" s="1"/>
  <c r="L145" i="5"/>
  <c r="L324" i="5" l="1"/>
  <c r="L146" i="5"/>
  <c r="L175" i="5" s="1"/>
  <c r="L244" i="5"/>
  <c r="L147" i="5" l="1"/>
  <c r="L149" i="5" s="1"/>
  <c r="L498" i="5" s="1"/>
  <c r="L456" i="5" l="1"/>
  <c r="L155" i="5"/>
  <c r="L171" i="5"/>
  <c r="L178" i="5" s="1"/>
  <c r="L483" i="5" s="1"/>
  <c r="L451" i="5"/>
  <c r="L452" i="5" s="1"/>
  <c r="AC21" i="2"/>
  <c r="AC23" i="2" s="1"/>
  <c r="L18" i="10" l="1"/>
  <c r="L17" i="10"/>
  <c r="L14" i="10"/>
  <c r="L13" i="10"/>
  <c r="L465" i="5"/>
  <c r="L250" i="5" s="1"/>
  <c r="L396" i="5"/>
  <c r="L459" i="5"/>
  <c r="L460" i="5" s="1"/>
  <c r="L249" i="5" s="1"/>
  <c r="L193" i="5"/>
  <c r="L400" i="5" s="1"/>
  <c r="AC22" i="2"/>
  <c r="L24" i="10" l="1"/>
  <c r="L33" i="10"/>
  <c r="L21" i="10"/>
  <c r="L31" i="10"/>
  <c r="L40" i="10" s="1"/>
  <c r="M463" i="5"/>
  <c r="L401" i="5"/>
  <c r="L404" i="5" s="1"/>
  <c r="L190" i="5" s="1"/>
  <c r="L195" i="5" s="1"/>
  <c r="L200" i="5" s="1"/>
  <c r="M455" i="5"/>
  <c r="L39" i="10" l="1"/>
  <c r="L41" i="10"/>
  <c r="L32" i="10"/>
  <c r="L477" i="5"/>
  <c r="L405" i="5"/>
  <c r="M403" i="5" s="1"/>
  <c r="M408" i="5" s="1"/>
  <c r="L251" i="5"/>
  <c r="L201" i="5"/>
  <c r="L379" i="5"/>
  <c r="L380" i="5" s="1"/>
  <c r="M378" i="5" s="1"/>
  <c r="M383" i="5" s="1"/>
  <c r="L15" i="10" l="1"/>
  <c r="L22" i="10" s="1"/>
  <c r="M431" i="5"/>
  <c r="M432" i="5" s="1"/>
  <c r="M446" i="5" s="1"/>
  <c r="M448" i="5" s="1"/>
  <c r="M248" i="5" s="1"/>
  <c r="L480" i="5"/>
  <c r="L481" i="5" s="1"/>
  <c r="L500" i="5"/>
  <c r="L160" i="5"/>
  <c r="M419" i="5"/>
  <c r="L478" i="5"/>
  <c r="L233" i="5"/>
  <c r="L238" i="5" s="1"/>
  <c r="L246" i="5" s="1"/>
  <c r="L253" i="5" s="1"/>
  <c r="L213" i="5"/>
  <c r="M199" i="5"/>
  <c r="M433" i="5" l="1"/>
  <c r="M458" i="5" s="1"/>
  <c r="N445" i="5"/>
  <c r="M142" i="5"/>
  <c r="L220" i="5"/>
  <c r="L229" i="5" s="1"/>
  <c r="L503" i="5" s="1"/>
  <c r="L495" i="5"/>
  <c r="L488" i="5"/>
  <c r="L479" i="5"/>
  <c r="M490" i="5" l="1"/>
  <c r="M143" i="5"/>
  <c r="M314" i="5" s="1"/>
  <c r="M317" i="5" s="1"/>
  <c r="M322" i="5" s="1"/>
  <c r="M145" i="5" s="1"/>
  <c r="L254" i="5"/>
  <c r="L499" i="5"/>
  <c r="L493" i="5"/>
  <c r="L494" i="5"/>
  <c r="L489" i="5"/>
  <c r="L482" i="5"/>
  <c r="L26" i="10" l="1"/>
  <c r="L27" i="10"/>
  <c r="M319" i="5"/>
  <c r="M323" i="5" s="1"/>
  <c r="M324" i="5" s="1"/>
  <c r="M146" i="5" l="1"/>
  <c r="M175" i="5" s="1"/>
  <c r="M240" i="5"/>
  <c r="M244" i="5" s="1"/>
  <c r="M147" i="5" l="1"/>
  <c r="M149" i="5" s="1"/>
  <c r="M498" i="5" s="1"/>
  <c r="M451" i="5" l="1"/>
  <c r="M452" i="5" s="1"/>
  <c r="M155" i="5"/>
  <c r="M456" i="5"/>
  <c r="M171" i="5"/>
  <c r="M178" i="5" s="1"/>
  <c r="M483" i="5" s="1"/>
  <c r="AD21" i="2"/>
  <c r="AD23" i="2" s="1"/>
  <c r="M17" i="10" l="1"/>
  <c r="M18" i="10"/>
  <c r="M14" i="10"/>
  <c r="M31" i="10" s="1"/>
  <c r="M13" i="10"/>
  <c r="M193" i="5"/>
  <c r="M400" i="5" s="1"/>
  <c r="M459" i="5"/>
  <c r="M460" i="5" s="1"/>
  <c r="N455" i="5" s="1"/>
  <c r="M396" i="5"/>
  <c r="M465" i="5"/>
  <c r="M250" i="5" s="1"/>
  <c r="AD22" i="2"/>
  <c r="M41" i="10" l="1"/>
  <c r="M40" i="10"/>
  <c r="M33" i="10"/>
  <c r="M24" i="10"/>
  <c r="M21" i="10"/>
  <c r="M39" i="10"/>
  <c r="M401" i="5"/>
  <c r="M404" i="5" s="1"/>
  <c r="M405" i="5" s="1"/>
  <c r="M249" i="5"/>
  <c r="M251" i="5" s="1"/>
  <c r="N463" i="5"/>
  <c r="M32" i="10" l="1"/>
  <c r="M477" i="5"/>
  <c r="M15" i="10"/>
  <c r="M22" i="10" s="1"/>
  <c r="N431" i="5"/>
  <c r="N432" i="5" s="1"/>
  <c r="N446" i="5" s="1"/>
  <c r="N448" i="5" s="1"/>
  <c r="O445" i="5" s="1"/>
  <c r="M190" i="5"/>
  <c r="M195" i="5" s="1"/>
  <c r="M200" i="5" s="1"/>
  <c r="M201" i="5" s="1"/>
  <c r="M480" i="5"/>
  <c r="M481" i="5" s="1"/>
  <c r="M500" i="5"/>
  <c r="M160" i="5"/>
  <c r="N403" i="5"/>
  <c r="N408" i="5" s="1"/>
  <c r="M233" i="5"/>
  <c r="M238" i="5" s="1"/>
  <c r="M246" i="5" s="1"/>
  <c r="M253" i="5" s="1"/>
  <c r="M478" i="5"/>
  <c r="N433" i="5" l="1"/>
  <c r="N458" i="5" s="1"/>
  <c r="N248" i="5"/>
  <c r="M379" i="5"/>
  <c r="M380" i="5" s="1"/>
  <c r="N378" i="5" s="1"/>
  <c r="N383" i="5" s="1"/>
  <c r="N419" i="5" s="1"/>
  <c r="M488" i="5"/>
  <c r="N199" i="5"/>
  <c r="M213" i="5"/>
  <c r="N142" i="5" l="1"/>
  <c r="M479" i="5"/>
  <c r="M489" i="5" s="1"/>
  <c r="M220" i="5"/>
  <c r="M229" i="5" s="1"/>
  <c r="M503" i="5" s="1"/>
  <c r="M495" i="5"/>
  <c r="N143" i="5" l="1"/>
  <c r="N314" i="5" s="1"/>
  <c r="N490" i="5"/>
  <c r="M482" i="5"/>
  <c r="M254" i="5"/>
  <c r="M499" i="5"/>
  <c r="M493" i="5"/>
  <c r="M494" i="5"/>
  <c r="M26" i="10" l="1"/>
  <c r="M27" i="10"/>
  <c r="N317" i="5"/>
  <c r="N322" i="5" s="1"/>
  <c r="N145" i="5" s="1"/>
  <c r="N319" i="5"/>
  <c r="N323" i="5" l="1"/>
  <c r="N240" i="5" s="1"/>
  <c r="N244" i="5" s="1"/>
  <c r="N146" i="5" l="1"/>
  <c r="N324" i="5"/>
  <c r="N465" i="5"/>
  <c r="N250" i="5" s="1"/>
  <c r="N175" i="5" l="1"/>
  <c r="N147" i="5"/>
  <c r="N149" i="5" s="1"/>
  <c r="O463" i="5"/>
  <c r="N498" i="5" l="1"/>
  <c r="AE21" i="2"/>
  <c r="N155" i="5"/>
  <c r="N456" i="5"/>
  <c r="N171" i="5"/>
  <c r="N178" i="5" s="1"/>
  <c r="N451" i="5"/>
  <c r="N452" i="5" s="1"/>
  <c r="N18" i="10" l="1"/>
  <c r="N14" i="10"/>
  <c r="N13" i="10"/>
  <c r="N193" i="5"/>
  <c r="N400" i="5" s="1"/>
  <c r="N459" i="5"/>
  <c r="N460" i="5" s="1"/>
  <c r="AE23" i="2"/>
  <c r="AE22" i="2"/>
  <c r="N396" i="5"/>
  <c r="N483" i="5"/>
  <c r="N33" i="10" l="1"/>
  <c r="N17" i="10"/>
  <c r="N21" i="10"/>
  <c r="N31" i="10"/>
  <c r="N39" i="10" s="1"/>
  <c r="N249" i="5"/>
  <c r="N251" i="5" s="1"/>
  <c r="O455" i="5"/>
  <c r="N401" i="5"/>
  <c r="N404" i="5" s="1"/>
  <c r="N41" i="10" l="1"/>
  <c r="N40" i="10"/>
  <c r="N24" i="10"/>
  <c r="N32" i="10"/>
  <c r="N477" i="5"/>
  <c r="N15" i="10"/>
  <c r="N22" i="10" s="1"/>
  <c r="O431" i="5"/>
  <c r="O432" i="5" s="1"/>
  <c r="O446" i="5" s="1"/>
  <c r="O448" i="5" s="1"/>
  <c r="O248" i="5" s="1"/>
  <c r="N190" i="5"/>
  <c r="N195" i="5" s="1"/>
  <c r="N200" i="5" s="1"/>
  <c r="N405" i="5"/>
  <c r="N480" i="5"/>
  <c r="N481" i="5" s="1"/>
  <c r="N500" i="5"/>
  <c r="N160" i="5"/>
  <c r="O433" i="5" l="1"/>
  <c r="O458" i="5" s="1"/>
  <c r="O403" i="5"/>
  <c r="O408" i="5" s="1"/>
  <c r="N233" i="5"/>
  <c r="N238" i="5" s="1"/>
  <c r="N246" i="5" s="1"/>
  <c r="N253" i="5" s="1"/>
  <c r="N478" i="5"/>
  <c r="N379" i="5"/>
  <c r="N380" i="5" s="1"/>
  <c r="O378" i="5" s="1"/>
  <c r="O383" i="5" s="1"/>
  <c r="N201" i="5"/>
  <c r="O419" i="5" l="1"/>
  <c r="O142" i="5" s="1"/>
  <c r="O490" i="5" s="1"/>
  <c r="N479" i="5"/>
  <c r="N488" i="5"/>
  <c r="O199" i="5"/>
  <c r="N213" i="5"/>
  <c r="O143" i="5" l="1"/>
  <c r="O314" i="5" s="1"/>
  <c r="O317" i="5" s="1"/>
  <c r="O322" i="5" s="1"/>
  <c r="N220" i="5"/>
  <c r="N495" i="5"/>
  <c r="N489" i="5"/>
  <c r="N482" i="5"/>
  <c r="N27" i="10" l="1"/>
  <c r="N26" i="10"/>
  <c r="O319" i="5"/>
  <c r="O323" i="5" s="1"/>
  <c r="O146" i="5" s="1"/>
  <c r="O175" i="5" s="1"/>
  <c r="O145" i="5"/>
  <c r="N229" i="5"/>
  <c r="N493" i="5"/>
  <c r="N494" i="5"/>
  <c r="O465" i="5"/>
  <c r="O250" i="5" s="1"/>
  <c r="O324" i="5" l="1"/>
  <c r="O240" i="5"/>
  <c r="O244" i="5" s="1"/>
  <c r="O147" i="5"/>
  <c r="O149" i="5" s="1"/>
  <c r="O498" i="5" s="1"/>
  <c r="N499" i="5"/>
  <c r="N503" i="5"/>
  <c r="N254" i="5"/>
  <c r="O171" i="5" l="1"/>
  <c r="O178" i="5" s="1"/>
  <c r="O396" i="5" s="1"/>
  <c r="O456" i="5"/>
  <c r="O155" i="5"/>
  <c r="O451" i="5"/>
  <c r="O452" i="5" s="1"/>
  <c r="O18" i="10" l="1"/>
  <c r="O14" i="10"/>
  <c r="O13" i="10"/>
  <c r="O483" i="5"/>
  <c r="O193" i="5"/>
  <c r="O400" i="5" s="1"/>
  <c r="O401" i="5" s="1"/>
  <c r="O404" i="5" s="1"/>
  <c r="O190" i="5" s="1"/>
  <c r="O195" i="5" s="1"/>
  <c r="O200" i="5" s="1"/>
  <c r="O201" i="5" s="1"/>
  <c r="O213" i="5" s="1"/>
  <c r="O220" i="5" s="1"/>
  <c r="O229" i="5" s="1"/>
  <c r="O499" i="5" s="1"/>
  <c r="O459" i="5"/>
  <c r="O460" i="5" s="1"/>
  <c r="O249" i="5" s="1"/>
  <c r="O251" i="5" s="1"/>
  <c r="O15" i="10" l="1"/>
  <c r="O22" i="10" s="1"/>
  <c r="O17" i="10"/>
  <c r="O21" i="10"/>
  <c r="O31" i="10"/>
  <c r="O477" i="5" s="1"/>
  <c r="O160" i="5"/>
  <c r="O480" i="5"/>
  <c r="O481" i="5" s="1"/>
  <c r="O379" i="5"/>
  <c r="O380" i="5" s="1"/>
  <c r="O500" i="5"/>
  <c r="O405" i="5"/>
  <c r="O233" i="5" s="1"/>
  <c r="O238" i="5" s="1"/>
  <c r="O246" i="5" s="1"/>
  <c r="O253" i="5" s="1"/>
  <c r="O254" i="5" s="1"/>
  <c r="O503" i="5"/>
  <c r="O40" i="10" l="1"/>
  <c r="O41" i="10"/>
  <c r="O39" i="10"/>
  <c r="O24" i="10"/>
  <c r="O32" i="10"/>
  <c r="O33" i="10"/>
  <c r="O478" i="5"/>
  <c r="O479" i="5" s="1"/>
  <c r="O494" i="5"/>
  <c r="O495" i="5"/>
  <c r="O493" i="5"/>
  <c r="J35" i="10" l="1"/>
  <c r="J36" i="10" s="1"/>
  <c r="K36" i="10" s="1"/>
  <c r="J34" i="10"/>
  <c r="O488" i="5"/>
  <c r="O489" i="5"/>
  <c r="O482" i="5"/>
  <c r="O27" i="10" l="1"/>
  <c r="O26" i="10"/>
  <c r="B167" i="5"/>
  <c r="B472" i="5" l="1"/>
  <c r="B5" i="10"/>
  <c r="B371" i="5"/>
  <c r="B309" i="5"/>
  <c r="B426" i="5"/>
  <c r="B261" i="5"/>
  <c r="B208" i="5"/>
  <c r="B333" i="5"/>
  <c r="B28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Samuels</author>
  </authors>
  <commentList>
    <comment ref="H42" authorId="0" shapeId="0" xr:uid="{1ED85D29-4E49-4C22-9FBF-C882F739D0AF}">
      <text>
        <r>
          <rPr>
            <b/>
            <sz val="9"/>
            <color indexed="81"/>
            <rFont val="Tahoma"/>
            <family val="2"/>
          </rPr>
          <t>Based on historic average</t>
        </r>
      </text>
    </comment>
  </commentList>
</comments>
</file>

<file path=xl/sharedStrings.xml><?xml version="1.0" encoding="utf-8"?>
<sst xmlns="http://schemas.openxmlformats.org/spreadsheetml/2006/main" count="644" uniqueCount="351">
  <si>
    <t>Summary Outputs</t>
  </si>
  <si>
    <t>SUMMARY VALUES - BASE CASE</t>
  </si>
  <si>
    <t>Projected</t>
  </si>
  <si>
    <t>($ Millions)</t>
  </si>
  <si>
    <t>Trend</t>
  </si>
  <si>
    <t>Income Statement Items</t>
  </si>
  <si>
    <t>Net Revenue</t>
  </si>
  <si>
    <t>(MM)</t>
  </si>
  <si>
    <t xml:space="preserve">   Growth</t>
  </si>
  <si>
    <t>(%)</t>
  </si>
  <si>
    <t>EBITDA</t>
  </si>
  <si>
    <t xml:space="preserve">   Margin</t>
  </si>
  <si>
    <t>Net Income</t>
  </si>
  <si>
    <t>SUMMARY VALUES - BEST CASE</t>
  </si>
  <si>
    <t>SUMMARY VALUES - WORST CASE</t>
  </si>
  <si>
    <t>Inputs and Assumptions</t>
  </si>
  <si>
    <t>GENERAL</t>
  </si>
  <si>
    <t>EQUITY</t>
  </si>
  <si>
    <t>-</t>
  </si>
  <si>
    <t>First year of forecast in financial model:</t>
  </si>
  <si>
    <t>Three scenarios have been used for Inflation, Product Pricing</t>
  </si>
  <si>
    <t>and sales volume growth</t>
  </si>
  <si>
    <t>PRODUCT PRICING</t>
  </si>
  <si>
    <t>Pricing Case</t>
  </si>
  <si>
    <t>Base Case</t>
  </si>
  <si>
    <t>Best Case</t>
  </si>
  <si>
    <t xml:space="preserve"> </t>
  </si>
  <si>
    <t>Worst Case</t>
  </si>
  <si>
    <t>INTEREST RATES</t>
  </si>
  <si>
    <t>Interest earned on Cash balances:</t>
  </si>
  <si>
    <t>Interest rate on Bank Revolver:</t>
  </si>
  <si>
    <t>MM</t>
  </si>
  <si>
    <t>Interest rate on Senior Secured Term Debt:</t>
  </si>
  <si>
    <t>Other</t>
  </si>
  <si>
    <t>DEPRECIATION</t>
  </si>
  <si>
    <t>TAXES</t>
  </si>
  <si>
    <t>Depreciation Methodology Used:</t>
  </si>
  <si>
    <t>Straight Line</t>
  </si>
  <si>
    <t>Years remaining for depreciation of existing assets:</t>
  </si>
  <si>
    <t>Years used for depreciation of new assets:</t>
  </si>
  <si>
    <t>OTHER ASSUMPTIONS</t>
  </si>
  <si>
    <t>Income Statement</t>
  </si>
  <si>
    <t>Cost Adjustments - Gain/(Loss)</t>
  </si>
  <si>
    <t>Cash Flow Statement</t>
  </si>
  <si>
    <t>Capital Expenditures</t>
  </si>
  <si>
    <t>Income Tax</t>
  </si>
  <si>
    <t>Reduction in EBT for timing differences</t>
  </si>
  <si>
    <t>Working Capital Days</t>
  </si>
  <si>
    <t>Accounts Receivable</t>
  </si>
  <si>
    <t>days</t>
  </si>
  <si>
    <t>Inventories</t>
  </si>
  <si>
    <t>Prepaid Expenses</t>
  </si>
  <si>
    <t>Other Assets</t>
  </si>
  <si>
    <t>Accounts Payable</t>
  </si>
  <si>
    <t>Other Liabilities</t>
  </si>
  <si>
    <t>Change in Debt &amp; Equity</t>
  </si>
  <si>
    <t>Senior Term Debt Issuance / (Repayment)</t>
  </si>
  <si>
    <t>Common Stock Issuance / (Buy-back)</t>
  </si>
  <si>
    <t>Economic and Sales Scenarios</t>
  </si>
  <si>
    <t>SCENARIO SWITCH:</t>
  </si>
  <si>
    <t>ECONOMIC SCENARIOS</t>
  </si>
  <si>
    <t>Cost Inflation</t>
  </si>
  <si>
    <t>SALES SCENARIOS</t>
  </si>
  <si>
    <t>Sales Volume Growth</t>
  </si>
  <si>
    <t>Revenue Schedule</t>
  </si>
  <si>
    <t>Pricing</t>
  </si>
  <si>
    <t>Revenue</t>
  </si>
  <si>
    <t>Costs of Production Schedule</t>
  </si>
  <si>
    <t>Variable Costs</t>
  </si>
  <si>
    <t>Total Variable Costs</t>
  </si>
  <si>
    <t>Fixed Costs</t>
  </si>
  <si>
    <t>Total Fixed Costs</t>
  </si>
  <si>
    <t>Total Costs</t>
  </si>
  <si>
    <t>Cost of Sales</t>
  </si>
  <si>
    <t>EBIT</t>
  </si>
  <si>
    <t>EBT</t>
  </si>
  <si>
    <t>Current Income Taxes</t>
  </si>
  <si>
    <t>Deferred Income Taxes</t>
  </si>
  <si>
    <t>Total Income Taxes</t>
  </si>
  <si>
    <t>Margins</t>
  </si>
  <si>
    <t>EBITDA Margin</t>
  </si>
  <si>
    <t>EBIT Margin</t>
  </si>
  <si>
    <t>Return on Equity</t>
  </si>
  <si>
    <t>Operating Activities</t>
  </si>
  <si>
    <t>Depreciation &amp; Amortization</t>
  </si>
  <si>
    <t>Changes in working capital</t>
  </si>
  <si>
    <t>Operating Cash Flow</t>
  </si>
  <si>
    <t>Investing Activities</t>
  </si>
  <si>
    <t>CAPEX</t>
  </si>
  <si>
    <t>Investing Cash Flow</t>
  </si>
  <si>
    <t>Financing Activities</t>
  </si>
  <si>
    <t>Revolver Issuance / (Repayment)</t>
  </si>
  <si>
    <t>Term Debt Issuance / (Repayment)</t>
  </si>
  <si>
    <t>Common Shares Issuance/ (Buy-Back)</t>
  </si>
  <si>
    <t>Common Dividends</t>
  </si>
  <si>
    <t>Financing Cash Flow</t>
  </si>
  <si>
    <t>Change in the Cash Position</t>
  </si>
  <si>
    <t>Beginning Cash</t>
  </si>
  <si>
    <t>Ending Cash</t>
  </si>
  <si>
    <t>Balance Sheet</t>
  </si>
  <si>
    <t>ASSETS</t>
  </si>
  <si>
    <t>Cash</t>
  </si>
  <si>
    <t>Inventory</t>
  </si>
  <si>
    <t>Total Current Assets</t>
  </si>
  <si>
    <t>Net PP&amp;E</t>
  </si>
  <si>
    <t>Total Long Term Assets</t>
  </si>
  <si>
    <t>Total Assets</t>
  </si>
  <si>
    <t>LIABILITIES AND EQUITY</t>
  </si>
  <si>
    <t>Bank Debt - Revolver</t>
  </si>
  <si>
    <t>Total Current Liabilities</t>
  </si>
  <si>
    <t>Senior Secured Term Debt</t>
  </si>
  <si>
    <t>Total Long Term Liabilities</t>
  </si>
  <si>
    <t>Total Liabilities</t>
  </si>
  <si>
    <t>Common Shares</t>
  </si>
  <si>
    <t>Retained Earnings</t>
  </si>
  <si>
    <t>Shareholder's Equity</t>
  </si>
  <si>
    <t>Total Liabilities and Equity</t>
  </si>
  <si>
    <t>Check</t>
  </si>
  <si>
    <t>Depreciation Schedule</t>
  </si>
  <si>
    <t>Years Remaining Existing Assets:</t>
  </si>
  <si>
    <t>Depreciation Years on New Assets:</t>
  </si>
  <si>
    <t>Depreciation to Existing Assets</t>
  </si>
  <si>
    <t>Total Depreciation</t>
  </si>
  <si>
    <t>Income Tax Schedule</t>
  </si>
  <si>
    <t>Tax Rate</t>
  </si>
  <si>
    <t xml:space="preserve">Accounting EBT (as is on I/S)   </t>
  </si>
  <si>
    <t>A</t>
  </si>
  <si>
    <r>
      <t xml:space="preserve">Less: Reduction in EBT for timing differences </t>
    </r>
    <r>
      <rPr>
        <vertAlign val="superscript"/>
        <sz val="10"/>
        <rFont val="Arial"/>
        <family val="2"/>
      </rPr>
      <t>(1)</t>
    </r>
  </si>
  <si>
    <t>Government EBT</t>
  </si>
  <si>
    <t>B</t>
  </si>
  <si>
    <t>Taxes as Appearing on Income Statement</t>
  </si>
  <si>
    <t>Increase (Decrease) in Deferred Income Taxes</t>
  </si>
  <si>
    <t>Total Income Taxes (Same as Accounting Taxes Above)</t>
  </si>
  <si>
    <t>(1) Assumes aggregate reduction in government pre-tax earnings due to timing differences between accounting and government rules.</t>
  </si>
  <si>
    <t>Working Capital Schedule</t>
  </si>
  <si>
    <t>Days per Year</t>
  </si>
  <si>
    <t>(days)</t>
  </si>
  <si>
    <t>Days In</t>
  </si>
  <si>
    <t>Account Balances</t>
  </si>
  <si>
    <t>Net Working Capital</t>
  </si>
  <si>
    <t>Change in Working Capital</t>
  </si>
  <si>
    <t>Debt and Interest Schedule</t>
  </si>
  <si>
    <t>FINANCING COMPONENT</t>
  </si>
  <si>
    <t>Amount Outstanding - Beginning</t>
  </si>
  <si>
    <t>Change in Cash</t>
  </si>
  <si>
    <t>Amount Outstanding - Ending</t>
  </si>
  <si>
    <t>Interest Rate</t>
  </si>
  <si>
    <t>Annual Interest Income</t>
  </si>
  <si>
    <t>Revolver</t>
  </si>
  <si>
    <t>Mandatory Debt Repayments</t>
  </si>
  <si>
    <t>Dividends</t>
  </si>
  <si>
    <t>FCF After Mandatory Debt Repayment and Dividend</t>
  </si>
  <si>
    <t>Revolver Outstanding - Beginning</t>
  </si>
  <si>
    <t>Additions / (Repayments)</t>
  </si>
  <si>
    <t>Revolver Outstanding - Ending</t>
  </si>
  <si>
    <t>Annual Interest Expense</t>
  </si>
  <si>
    <t>Net Interest Expense</t>
  </si>
  <si>
    <t>Shareholders' Equity Schedule</t>
  </si>
  <si>
    <t>New Issuance / (Buy-Back)</t>
  </si>
  <si>
    <t>Dividend Payout Rate</t>
  </si>
  <si>
    <t>Common Dividend</t>
  </si>
  <si>
    <t>Values</t>
  </si>
  <si>
    <t>Total Debt</t>
  </si>
  <si>
    <t>Credit Ratios</t>
  </si>
  <si>
    <t>Debt / EBITDA</t>
  </si>
  <si>
    <t>Liquidity Ratios</t>
  </si>
  <si>
    <t>Valuation</t>
  </si>
  <si>
    <t>3statementmodels.com</t>
  </si>
  <si>
    <t>Other income</t>
  </si>
  <si>
    <t>Derivatives</t>
  </si>
  <si>
    <t>Comprehensive Income</t>
  </si>
  <si>
    <t>Investments</t>
  </si>
  <si>
    <t>Translation and other</t>
  </si>
  <si>
    <t>Stock Based Compensation</t>
  </si>
  <si>
    <t>Gains &amp; Losses on Investments</t>
  </si>
  <si>
    <t>Purcase of Investments</t>
  </si>
  <si>
    <t>Sale of Investments</t>
  </si>
  <si>
    <t>Equity Investments</t>
  </si>
  <si>
    <t>Goodwill</t>
  </si>
  <si>
    <t>Intangibles</t>
  </si>
  <si>
    <t>Deferred Income</t>
  </si>
  <si>
    <t>Current portion of LT debt</t>
  </si>
  <si>
    <t>Operating Leases</t>
  </si>
  <si>
    <t>Other Comprehensive Earnings</t>
  </si>
  <si>
    <t>Sales forecast</t>
  </si>
  <si>
    <t>Volume</t>
  </si>
  <si>
    <t>Sales Volume @ projected price</t>
  </si>
  <si>
    <t>COST OF SALES</t>
  </si>
  <si>
    <t>SC/RE split</t>
  </si>
  <si>
    <t>New Issuance / (Buy-Back) - Share Capital</t>
  </si>
  <si>
    <t>New Issuance / (Buy-Back) - Retained Earnings</t>
  </si>
  <si>
    <t>Change to OCI</t>
  </si>
  <si>
    <t>Other Comprehensive Income</t>
  </si>
  <si>
    <t>Goodwill impairment</t>
  </si>
  <si>
    <t>Amortization Schedule</t>
  </si>
  <si>
    <t>Amortization of Existing Assets</t>
  </si>
  <si>
    <t>Years used for amortization of intangibles:</t>
  </si>
  <si>
    <t>Total Amortization</t>
  </si>
  <si>
    <t>OCI (G/L on investments)</t>
  </si>
  <si>
    <t>Short-Term Investments</t>
  </si>
  <si>
    <t>Short-Term Investments - Puchase/(Sale)</t>
  </si>
  <si>
    <t>Interest rate on Short-Term Investments:</t>
  </si>
  <si>
    <t>Net Debt</t>
  </si>
  <si>
    <t>Per Share</t>
  </si>
  <si>
    <t>EPS - Basic</t>
  </si>
  <si>
    <t>EPS - Diluted</t>
  </si>
  <si>
    <t>Book value PS</t>
  </si>
  <si>
    <t>Price-to-book</t>
  </si>
  <si>
    <t>Sales PS</t>
  </si>
  <si>
    <t>Price-to-sales</t>
  </si>
  <si>
    <t># Shares</t>
  </si>
  <si>
    <t>Shares</t>
  </si>
  <si>
    <t>Stock Price</t>
  </si>
  <si>
    <t>Share price</t>
  </si>
  <si>
    <t>Issuance/Buy-back</t>
  </si>
  <si>
    <t>Dilutive effects of stock awards</t>
  </si>
  <si>
    <t>Debt to Equity (D/E)</t>
  </si>
  <si>
    <t>Net Assets</t>
  </si>
  <si>
    <t>Net Assets (Excl. Goodwill)</t>
  </si>
  <si>
    <t>Market Cap</t>
  </si>
  <si>
    <t>Shares outstanding (diluted, m)</t>
  </si>
  <si>
    <t>Enterprise Value (MC + Net Debt)</t>
  </si>
  <si>
    <t>EV/EBITDA</t>
  </si>
  <si>
    <t>EV/Sales</t>
  </si>
  <si>
    <t>Dividend yield</t>
  </si>
  <si>
    <t>Dividend PS</t>
  </si>
  <si>
    <t>Earnings yield</t>
  </si>
  <si>
    <t>Current ratio</t>
  </si>
  <si>
    <t>Quick ratio</t>
  </si>
  <si>
    <t>Cash ratio</t>
  </si>
  <si>
    <t>Interest coverage (EBIT/Interest)</t>
  </si>
  <si>
    <t>Profitability Ratios</t>
  </si>
  <si>
    <t>ROA</t>
  </si>
  <si>
    <t>ROE</t>
  </si>
  <si>
    <t>Net Income Margin</t>
  </si>
  <si>
    <t>Efficiency Ratios</t>
  </si>
  <si>
    <t>Inventory Turnover</t>
  </si>
  <si>
    <t>Asset Turnover (Revenue/Assets)</t>
  </si>
  <si>
    <t>Multiples</t>
  </si>
  <si>
    <t>Yields</t>
  </si>
  <si>
    <t>Company Ratios</t>
  </si>
  <si>
    <t>Op CF yield</t>
  </si>
  <si>
    <t>Stock Based Comp</t>
  </si>
  <si>
    <t>Impairment</t>
  </si>
  <si>
    <t>Purchase of Other Investments</t>
  </si>
  <si>
    <t>Tax rate assumed:</t>
  </si>
  <si>
    <t>Pricing - scenario adjustment</t>
  </si>
  <si>
    <t>Volume - scenario adjustment</t>
  </si>
  <si>
    <t>Forecast</t>
  </si>
  <si>
    <t>Disclaimer</t>
  </si>
  <si>
    <t>The financial model provided is for informational purposes only and is not intended to be relied upon for making any financial, investment, or business decisions. Users of this model should exercise caution and consult with qualified financial, legal, and tax professionals before taking any action based on the model’s outputs.
The financial model is based on assumptions, estimates, and hypothetical scenarios that may not reflect actual market conditions, industry standards, or future outcomes. Projections or forecasts provided in this model are speculative and do not guarantee any specific results. Past performance is not indicative of future performance, and any forward-looking statements are subject to risks and uncertainties.
The issuer makes no representations, warranties, or guarantees, express or implied, regarding the accuracy, completeness, or reliability of the financial model, nor its fitness for a particular purpose. The model is provided 'as is,' without any guarantees or assurances, and no claims are made that the model has been reviewed, verified, or checked for errors. The issuer explicitly disclaims any liability for any inaccuracies, omissions, or errors in the model.
The model may incorporate data from third-party sources, which the issuer has not independently verified. The issuer does not warrant the accuracy, completeness, timeliness, or reliability of such third-party data. Users bear all responsibility for verifying the data and assumptions used in the model.
No fiduciary, advisory, or client relationship is created by the provision or use of this financial model. The issuer is not responsible for acting in the best interests of users, and users acknowledge that the model is a tool for illustrative purposes only and not a recommendation or offer to buy, sell, or hold any security, financial product, or service.
The financial model is subject to inherent limitations and may not be suitable for every situation. The issuer is under no obligation to update, revise, or maintain the model, and the model may become outdated over time. Users assume all risks associated with using the model and agree that the issuer will not be held liable for any direct, indirect, incidental, or consequential losses, damages, or costs arising from the use or reliance on the model or its outputs.
By using this financial model, you acknowledge and accept that any use of the model is at your own risk, and you agree that the issuer shall not be held liable for any decisions made or actions taken based on the model. The issuer assumes no responsibility for any outcomes resulting from the use of this model.
This disclaimer is governed by and construed in accordance with the laws of the United Kingdom, and any disputes arising from the use of the financial model shall be subject to the exclusive jurisdiction of the courts of the United Kingdom.</t>
  </si>
  <si>
    <t>FCFE PS</t>
  </si>
  <si>
    <t>Price-to-FCFE</t>
  </si>
  <si>
    <t>Free Cash Flow to Equity (FCFE)</t>
  </si>
  <si>
    <t>x</t>
  </si>
  <si>
    <t>Price-to-earnings</t>
  </si>
  <si>
    <t>Future price (based on future multiple)</t>
  </si>
  <si>
    <t>Assumed PE</t>
  </si>
  <si>
    <t>Future PE multiple</t>
  </si>
  <si>
    <t>YoY Change</t>
  </si>
  <si>
    <t>5-year DCF</t>
  </si>
  <si>
    <t>IRR</t>
  </si>
  <si>
    <t>Discount rate</t>
  </si>
  <si>
    <t>NPV Premium/(Discount) to current SP ($, %)</t>
  </si>
  <si>
    <t>Other Income</t>
  </si>
  <si>
    <t>%</t>
  </si>
  <si>
    <t>BUSINESS</t>
  </si>
  <si>
    <t>Business</t>
  </si>
  <si>
    <t>5-Year Financial Model</t>
  </si>
  <si>
    <t>Deferred Income Tax</t>
  </si>
  <si>
    <t>Deferred Income &amp; Accrued Exp</t>
  </si>
  <si>
    <t>Interest Income/(Expense)</t>
  </si>
  <si>
    <t>Share Cap/RE ratio</t>
  </si>
  <si>
    <t>Share Based Comp (Share Prem)</t>
  </si>
  <si>
    <t xml:space="preserve">The product pricing cases, above baseline forecast growth, </t>
  </si>
  <si>
    <t>used in the model are as follows:</t>
  </si>
  <si>
    <t>December</t>
  </si>
  <si>
    <t>(€ MM)</t>
  </si>
  <si>
    <t>Sales Price - €/Unit</t>
  </si>
  <si>
    <t>Fixed Cost Inflation</t>
  </si>
  <si>
    <t>Variable Cost Inflation</t>
  </si>
  <si>
    <t>Common Dividend Payout Rate (% of NI)</t>
  </si>
  <si>
    <t>McDonald's Corporation</t>
  </si>
  <si>
    <r>
      <rPr>
        <b/>
        <sz val="7.5"/>
        <color theme="1"/>
        <rFont val="Aptos Narrow"/>
        <family val="2"/>
        <scheme val="minor"/>
      </rPr>
      <t>From the company's 2023 Annual Report:</t>
    </r>
    <r>
      <rPr>
        <sz val="7.5"/>
        <color theme="1"/>
        <rFont val="Aptos Narrow"/>
        <family val="2"/>
        <scheme val="minor"/>
      </rPr>
      <t xml:space="preserve">
The Company franchises and operates McDonald's restaurants, which serve a locally relevant menu of quality food and beverages in communities across more than 100 countries. Of the 41,822 McDonald's restuarants at year-end 2023, approximately 95% were franchised.
Significant reportable segments include the United States ("U.S.") and International Operated Markets. In addition, there is the International Developmental Licensed Markets &amp; Corporate segment, which includes the results of over 75 countries, as well as Corporate activities.
McDonald's franchised restaurants are owned and operated under one of the following structures - conventional franchise, developmental license or affiliate. The optimal ownership structure for an individual restaurant, trading area or market (country) is based on a variety of factors, including the availability of individuals with entrepreneurial experience and financial resources, as well as the local legal and regulatory environment in critical areas such as property ownership and franchising. The business relationship between the Company and its independent franchisees is supported by adhering to standards and policies, including McDonald's Global Brand Standards, and is of fundamental importance to overall performance and to protecting the McDonald's brand.
The Company is primarily a franchisor and believes franchising is paramount to delivering great-tasting food, locally relevant customer experiences and driving profitability. Franchising enables an individual to be their own employer and maintain control over all employment related matters, marketing and pricing decisions, while also benefiting from the strength of McDonald's global brand, operating system and financial resources.
Directly operating McDonald's restaurants contributes significantly to the Company's ability to act as a credible franchisor. One of the strengths of the franchising model is that the expertise from operating Company-owned restaurants allows McDonald's to improve the operations and success of all restaurants while innovations from franchisees can be tested and, when viable, efficiently implemented across relevant restaurants. Having Company-owned and operated restaurants provides Company personnel with a venue for restaurant operations training experience. In addition, in our Company-owned and operated restaurants, and in collaboration with franchisees, the Company is able to further develop and refine operating standards, marketing concepts and product and pricing strategies that will ultimately benefit McDonald's restaurants.
The Company's revenues consist of sales by Company-operated restaurants and fees from franchised restaurants operated by conventional franchises, developmental licensees and affiliates. Fees vary by type of site, amount of Company investment, if any, and local business conditions. These fees, along with occupancy and operating rights, are stipulated in franchise/license agreements that generally have 20-year terms. The Company also generates revenues from fees paid by franchisees to recover a portion of costs incurred by the Company for various technology platforms, revenues from its agreement arrangements to market and sell consumer packaged goods using the McDonald's brand.
</t>
    </r>
    <r>
      <rPr>
        <b/>
        <sz val="7.5"/>
        <color theme="1"/>
        <rFont val="Aptos Narrow"/>
        <family val="2"/>
        <scheme val="minor"/>
      </rPr>
      <t>Conventional Franchise</t>
    </r>
    <r>
      <rPr>
        <sz val="7.5"/>
        <color theme="1"/>
        <rFont val="Aptos Narrow"/>
        <family val="2"/>
        <scheme val="minor"/>
      </rPr>
      <t xml:space="preserve">
Under a conventional franchise arrangement, the Company generally owns or secures a long-term lease on the land and building for the restaurant location and the franchisee pays for equipment, signs, seating and décor. The Company believes that ownership of real estate, combined with the co-investment by franchisees, enables it to achieve restaurant performance levels that are among the highest in the industry.
Franchisees are responsible for reinvesting capital in their businesses over time. In addition, to accelerate implementation of certain initiatives, the Company may co-invest with franchisees to fund improvements to their restaurants or operating systems.
The Company requires franchisees to meet rigorous standards and generally does not work with passive investors. The business relationship with franchisees is designed to facilitate consistency and high quality at all McDonald's restaurants. Conventional franchisees contribute to the Company's revenue, primarily through the payment of rent and royalties based upon a percent of sales, with specified minimum rent payments, along with initial fees paid upon the opening of a new restaurant or grant of a new franchise. The Company's heavily franchised business model is designed to generate stable and predictable revenue, which is largely a function of franchisee sales, and resulting cash flow streams.
</t>
    </r>
    <r>
      <rPr>
        <b/>
        <sz val="7.5"/>
        <color theme="1"/>
        <rFont val="Aptos Narrow"/>
        <family val="2"/>
        <scheme val="minor"/>
      </rPr>
      <t xml:space="preserve">Developmental License or Affiliate
</t>
    </r>
    <r>
      <rPr>
        <sz val="7.5"/>
        <color theme="1"/>
        <rFont val="Aptos Narrow"/>
        <family val="2"/>
        <scheme val="minor"/>
      </rPr>
      <t>Under a developmental license or affiliate arrangement, licensees are responsible for operating and managing their businesses, providing capital (including the real estate or interest) and developing and opening new restaurants. The Company generally does not invest any capital under a developmental license or affiliate arrangement, and it receives a royalty based on a percent of sales, and generally receives initial fees upon the opening of a new restaurant or grant of a new license.
While developmental license and affiliate arrangements are largely the same, affiliate arrangements are used in a limited number of foreign markets (primarily China and Japan) within the International Developmental Licensed Markets segment as well as a limited number of individual restaurants within the International Operated Markets segment, where the Company also has an equity investment and records its share of net results in equity of unconsolidated affiliates</t>
    </r>
  </si>
  <si>
    <t>Sales by Company-operated restaurants</t>
  </si>
  <si>
    <t>Revenue from franchised restaurants</t>
  </si>
  <si>
    <t>Other revenue</t>
  </si>
  <si>
    <t>Company-operated restaurant expenses</t>
  </si>
  <si>
    <t>Food &amp; paper</t>
  </si>
  <si>
    <t>Payroll</t>
  </si>
  <si>
    <t>Occupancy &amp; other operating expense</t>
  </si>
  <si>
    <t>Other restaurant expenses</t>
  </si>
  <si>
    <t>Franchised restaurants-occupancy expenses</t>
  </si>
  <si>
    <t>($ MM)</t>
  </si>
  <si>
    <t>MCD</t>
  </si>
  <si>
    <t>Outstanding Shares (m, net of treasury shares)</t>
  </si>
  <si>
    <t>Retained Earnings &amp; Treasury shares at cost</t>
  </si>
  <si>
    <t>Franchised</t>
  </si>
  <si>
    <t>Restaurants (Units)</t>
  </si>
  <si>
    <t>Conventional Franchised</t>
  </si>
  <si>
    <t>Development Licenced</t>
  </si>
  <si>
    <t>Foreign Affiliated</t>
  </si>
  <si>
    <t>Company operated</t>
  </si>
  <si>
    <t>Total franchised</t>
  </si>
  <si>
    <t>Total restaurants</t>
  </si>
  <si>
    <t>pg 43</t>
  </si>
  <si>
    <t>US</t>
  </si>
  <si>
    <t>IOM</t>
  </si>
  <si>
    <t>IDL</t>
  </si>
  <si>
    <t>Of which:</t>
  </si>
  <si>
    <t>Restaurants</t>
  </si>
  <si>
    <t>Total revenue</t>
  </si>
  <si>
    <t xml:space="preserve">Revenue per Franchised restaurant in </t>
  </si>
  <si>
    <t>Revenue per Company operated restaurant in</t>
  </si>
  <si>
    <t>Location revenue check</t>
  </si>
  <si>
    <t>Total location</t>
  </si>
  <si>
    <t>Total</t>
  </si>
  <si>
    <t>Frch</t>
  </si>
  <si>
    <t>Operated</t>
  </si>
  <si>
    <t>Actual</t>
  </si>
  <si>
    <t>Per calc</t>
  </si>
  <si>
    <t>Dif</t>
  </si>
  <si>
    <t>Total type</t>
  </si>
  <si>
    <t>Total dif</t>
  </si>
  <si>
    <t>Other Revenue</t>
  </si>
  <si>
    <t>Pricing ($m / Unit)</t>
  </si>
  <si>
    <t>Company operated restaurant in:</t>
  </si>
  <si>
    <t>Franchised restaurant in:</t>
  </si>
  <si>
    <t>Total Operated</t>
  </si>
  <si>
    <t>Volume (Restaurants)</t>
  </si>
  <si>
    <t>(€ MM / Rest't)</t>
  </si>
  <si>
    <t>Depreciation</t>
  </si>
  <si>
    <t>Amortization</t>
  </si>
  <si>
    <t xml:space="preserve">Company operated </t>
  </si>
  <si>
    <t>Occupancy &amp; other opex</t>
  </si>
  <si>
    <t>Per Restaurant</t>
  </si>
  <si>
    <t>Franchised restaurant operating expenses</t>
  </si>
  <si>
    <t>Variable Costs per restaurant</t>
  </si>
  <si>
    <t>Selling, General &amp; Admin</t>
  </si>
  <si>
    <t>Selling, General and Admin</t>
  </si>
  <si>
    <t>Included as COS</t>
  </si>
  <si>
    <t>Depreciation per IS</t>
  </si>
  <si>
    <t>% of depreciation included as COS</t>
  </si>
  <si>
    <t>Actuals back calculated from segmental info</t>
  </si>
  <si>
    <t>pg21</t>
  </si>
  <si>
    <t>Number of Restaurants</t>
  </si>
  <si>
    <t>Growth in number of restaurants per year</t>
  </si>
  <si>
    <t>Cost of Sales forecast</t>
  </si>
  <si>
    <t>Fixed costs ($m)</t>
  </si>
  <si>
    <t>Variable costs ($m / Restaurant)</t>
  </si>
  <si>
    <t>Workings for back calculating revenue per restaurant (not part of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</si>
</sst>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3" formatCode="_-* #,##0.00_-;\-* #,##0.00_-;_-* &quot;-&quot;??_-;_-@_-"/>
    <numFmt numFmtId="164" formatCode="0\A"/>
    <numFmt numFmtId="165" formatCode="0\F"/>
    <numFmt numFmtId="166" formatCode="&quot;$&quot;#,##0_);\(&quot;$&quot;#,##0\)"/>
    <numFmt numFmtId="167" formatCode="0.0%;\(0.0%\)"/>
    <numFmt numFmtId="168" formatCode="0.0%"/>
    <numFmt numFmtId="169" formatCode="&quot;$&quot;#,##0.0"/>
    <numFmt numFmtId="170" formatCode="&quot;- Opening UCC pool of &quot;&quot;$&quot;#,###.0&quot; million as of January 1, 1999&quot;"/>
    <numFmt numFmtId="171" formatCode="0\ &quot;years&quot;"/>
    <numFmt numFmtId="172" formatCode="&quot;$&quot;#,##0.0_);\(&quot;$&quot;#,##0.0\)"/>
    <numFmt numFmtId="173" formatCode="&quot;- EBITDA margin of &quot;0.0%"/>
    <numFmt numFmtId="174" formatCode="0.0_);\(0.0\)"/>
    <numFmt numFmtId="175" formatCode="0.00_);\(0.00\)"/>
    <numFmt numFmtId="176" formatCode="0_);\(0\)"/>
    <numFmt numFmtId="177" formatCode="0%;\(0%\)"/>
    <numFmt numFmtId="178" formatCode="_(* #,##0.0_);_(* \(#,##0.0\);_(* &quot;-&quot;??_);_(@_)"/>
    <numFmt numFmtId="179" formatCode="_(* #,##0_);_(* \(#,##0\);_(* &quot;-&quot;??_);_(@_)"/>
    <numFmt numFmtId="180" formatCode="0.0%\ ;\(0.0%\)"/>
    <numFmt numFmtId="181" formatCode="#,##0.0_);\(#,##0.0\)"/>
    <numFmt numFmtId="182" formatCode="0.0\ \x"/>
    <numFmt numFmtId="183" formatCode="&quot;$&quot;#,##0_);[Red]\(&quot;$&quot;#,##0\)"/>
    <numFmt numFmtId="184" formatCode="&quot;$&quot;#,##0.000_);\(&quot;$&quot;#,##0.000\)"/>
    <numFmt numFmtId="185" formatCode="#,##0.000_);\(#,##0.000\)"/>
    <numFmt numFmtId="186" formatCode="0.000_);\(0.000\)"/>
    <numFmt numFmtId="187" formatCode="#,##0.0000_);\(#,##0.0000\)"/>
    <numFmt numFmtId="188" formatCode="&quot;$&quot;#,##0.000000_);\(&quot;$&quot;#,##0.000000\)"/>
    <numFmt numFmtId="189" formatCode="&quot;$&quot;#,##0.0000_);\(&quot;$&quot;#,##0.0000\)"/>
    <numFmt numFmtId="190" formatCode="0.00\ "/>
    <numFmt numFmtId="191" formatCode="#,##0_);\(#,##0\)"/>
    <numFmt numFmtId="192" formatCode="0.0000000000"/>
    <numFmt numFmtId="193" formatCode="#,##0.00_);\(#,##0.00\)"/>
    <numFmt numFmtId="194" formatCode="_-* #,##0.0_-;\-* #,##0.0_-;_-* &quot;-&quot;??_-;_-@_-"/>
    <numFmt numFmtId="195" formatCode="_-* #,##0_-;\-* #,##0_-;_-* &quot;-&quot;??_-;_-@_-"/>
    <numFmt numFmtId="196" formatCode="&quot;€&quot;#,##0.0_);\(&quot;€&quot;#,##0.0\)"/>
    <numFmt numFmtId="197" formatCode="&quot;€&quot;#,##0_);\(&quot;€&quot;#,##0\)"/>
    <numFmt numFmtId="198" formatCode="&quot;$&quot;#,##0.00_);\(&quot;$&quot;#,##0.00\)"/>
    <numFmt numFmtId="199" formatCode="_-* #,##0.000_-;\-* #,##0.000_-;_-* &quot;-&quot;??_-;_-@_-"/>
  </numFmts>
  <fonts count="78" x14ac:knownFonts="1">
    <font>
      <sz val="11"/>
      <color theme="1"/>
      <name val="Aptos Narrow"/>
      <family val="2"/>
      <scheme val="minor"/>
    </font>
    <font>
      <sz val="11"/>
      <color theme="1"/>
      <name val="Aptos Narrow"/>
      <family val="2"/>
      <scheme val="minor"/>
    </font>
    <font>
      <sz val="10"/>
      <name val="Arial"/>
      <family val="2"/>
    </font>
    <font>
      <b/>
      <sz val="18"/>
      <name val="Arial"/>
      <family val="2"/>
    </font>
    <font>
      <b/>
      <sz val="20"/>
      <color indexed="12"/>
      <name val="Arial"/>
      <family val="2"/>
    </font>
    <font>
      <b/>
      <sz val="20"/>
      <name val="Arial"/>
      <family val="2"/>
    </font>
    <font>
      <b/>
      <sz val="14"/>
      <name val="Arial"/>
      <family val="2"/>
    </font>
    <font>
      <b/>
      <i/>
      <sz val="14"/>
      <name val="Arial"/>
      <family val="2"/>
    </font>
    <font>
      <b/>
      <sz val="10"/>
      <name val="Arial"/>
      <family val="2"/>
    </font>
    <font>
      <b/>
      <sz val="12"/>
      <name val="Arial"/>
      <family val="2"/>
    </font>
    <font>
      <sz val="10"/>
      <color theme="0"/>
      <name val="Arial"/>
      <family val="2"/>
    </font>
    <font>
      <b/>
      <i/>
      <sz val="10"/>
      <color theme="0"/>
      <name val="Arial"/>
      <family val="2"/>
    </font>
    <font>
      <i/>
      <sz val="10"/>
      <color theme="0"/>
      <name val="Arial"/>
      <family val="2"/>
    </font>
    <font>
      <b/>
      <i/>
      <sz val="10"/>
      <name val="Arial"/>
      <family val="2"/>
    </font>
    <font>
      <i/>
      <sz val="10"/>
      <name val="Arial"/>
      <family val="2"/>
    </font>
    <font>
      <b/>
      <sz val="10"/>
      <color theme="0"/>
      <name val="Arial"/>
      <family val="2"/>
    </font>
    <font>
      <b/>
      <u/>
      <sz val="10"/>
      <name val="Arial"/>
      <family val="2"/>
    </font>
    <font>
      <b/>
      <sz val="8"/>
      <color rgb="FF008ED6"/>
      <name val="Arial"/>
      <family val="2"/>
    </font>
    <font>
      <sz val="10"/>
      <color rgb="FF002F6C"/>
      <name val="Arial"/>
      <family val="2"/>
    </font>
    <font>
      <sz val="8"/>
      <name val="Arial"/>
      <family val="2"/>
    </font>
    <font>
      <i/>
      <sz val="9"/>
      <name val="Arial"/>
      <family val="2"/>
    </font>
    <font>
      <sz val="9"/>
      <name val="Arial"/>
      <family val="2"/>
    </font>
    <font>
      <i/>
      <sz val="9"/>
      <color rgb="FF002F6C"/>
      <name val="Arial"/>
      <family val="2"/>
    </font>
    <font>
      <sz val="10"/>
      <color rgb="FF4586BB"/>
      <name val="Arial"/>
      <family val="2"/>
    </font>
    <font>
      <sz val="9"/>
      <color rgb="FF002F6C"/>
      <name val="Arial"/>
      <family val="2"/>
    </font>
    <font>
      <b/>
      <sz val="8"/>
      <name val="Arial"/>
      <family val="2"/>
    </font>
    <font>
      <b/>
      <sz val="18"/>
      <color indexed="12"/>
      <name val="Arial"/>
      <family val="2"/>
    </font>
    <font>
      <b/>
      <sz val="14"/>
      <color indexed="8"/>
      <name val="Arial"/>
      <family val="2"/>
    </font>
    <font>
      <sz val="10"/>
      <color indexed="12"/>
      <name val="Arial"/>
      <family val="2"/>
    </font>
    <font>
      <sz val="12"/>
      <name val="Arial"/>
      <family val="2"/>
    </font>
    <font>
      <sz val="10"/>
      <name val="Times New Roman"/>
      <family val="1"/>
    </font>
    <font>
      <sz val="16"/>
      <name val="Arial"/>
      <family val="2"/>
    </font>
    <font>
      <b/>
      <sz val="16"/>
      <name val="Arial"/>
      <family val="2"/>
    </font>
    <font>
      <b/>
      <sz val="10"/>
      <color indexed="12"/>
      <name val="Arial"/>
      <family val="2"/>
    </font>
    <font>
      <b/>
      <i/>
      <sz val="12"/>
      <name val="Arial"/>
      <family val="2"/>
    </font>
    <font>
      <b/>
      <sz val="11"/>
      <name val="Arial"/>
      <family val="2"/>
    </font>
    <font>
      <sz val="9"/>
      <color indexed="12"/>
      <name val="Arial"/>
      <family val="2"/>
    </font>
    <font>
      <sz val="9"/>
      <color indexed="8"/>
      <name val="Arial"/>
      <family val="2"/>
    </font>
    <font>
      <b/>
      <sz val="10"/>
      <color indexed="8"/>
      <name val="Arial"/>
      <family val="2"/>
    </font>
    <font>
      <sz val="9"/>
      <color rgb="FF009B73"/>
      <name val="Arial"/>
      <family val="2"/>
    </font>
    <font>
      <b/>
      <i/>
      <sz val="14"/>
      <color indexed="10"/>
      <name val="Arial"/>
      <family val="2"/>
    </font>
    <font>
      <b/>
      <i/>
      <sz val="9"/>
      <color indexed="10"/>
      <name val="Arial"/>
      <family val="2"/>
    </font>
    <font>
      <sz val="10"/>
      <color indexed="9"/>
      <name val="Arial"/>
      <family val="2"/>
    </font>
    <font>
      <sz val="10"/>
      <color rgb="FF0000FF"/>
      <name val="Arial"/>
      <family val="2"/>
    </font>
    <font>
      <sz val="10"/>
      <color rgb="FF009B73"/>
      <name val="Arial"/>
      <family val="2"/>
    </font>
    <font>
      <b/>
      <sz val="10"/>
      <color indexed="9"/>
      <name val="Arial"/>
      <family val="2"/>
    </font>
    <font>
      <b/>
      <sz val="9"/>
      <name val="Arial"/>
      <family val="2"/>
    </font>
    <font>
      <vertAlign val="superscript"/>
      <sz val="7"/>
      <name val="Arial"/>
      <family val="2"/>
    </font>
    <font>
      <b/>
      <sz val="10"/>
      <color indexed="10"/>
      <name val="Arial"/>
      <family val="2"/>
    </font>
    <font>
      <sz val="8"/>
      <color indexed="12"/>
      <name val="Arial"/>
      <family val="2"/>
    </font>
    <font>
      <b/>
      <sz val="18"/>
      <color indexed="8"/>
      <name val="Arial"/>
      <family val="2"/>
    </font>
    <font>
      <b/>
      <sz val="16"/>
      <color indexed="8"/>
      <name val="Arial"/>
      <family val="2"/>
    </font>
    <font>
      <b/>
      <sz val="9"/>
      <color indexed="12"/>
      <name val="Arial"/>
      <family val="2"/>
    </font>
    <font>
      <b/>
      <u/>
      <sz val="9"/>
      <name val="Arial"/>
      <family val="2"/>
    </font>
    <font>
      <sz val="10"/>
      <color indexed="8"/>
      <name val="Arial"/>
      <family val="2"/>
    </font>
    <font>
      <sz val="10"/>
      <color indexed="10"/>
      <name val="Arial"/>
      <family val="2"/>
    </font>
    <font>
      <sz val="12"/>
      <color indexed="8"/>
      <name val="Arial"/>
      <family val="2"/>
    </font>
    <font>
      <b/>
      <i/>
      <sz val="10"/>
      <color indexed="8"/>
      <name val="Arial"/>
      <family val="2"/>
    </font>
    <font>
      <b/>
      <sz val="10"/>
      <color rgb="FF009B73"/>
      <name val="Arial"/>
      <family val="2"/>
    </font>
    <font>
      <b/>
      <sz val="9"/>
      <color indexed="8"/>
      <name val="Arial"/>
      <family val="2"/>
    </font>
    <font>
      <vertAlign val="superscript"/>
      <sz val="10"/>
      <name val="Arial"/>
      <family val="2"/>
    </font>
    <font>
      <sz val="10"/>
      <color indexed="61"/>
      <name val="Arial"/>
      <family val="2"/>
    </font>
    <font>
      <b/>
      <sz val="12"/>
      <color theme="1"/>
      <name val="Aptos Narrow"/>
      <family val="2"/>
      <scheme val="minor"/>
    </font>
    <font>
      <b/>
      <sz val="28"/>
      <color theme="1"/>
      <name val="Aptos Narrow"/>
      <family val="2"/>
      <scheme val="minor"/>
    </font>
    <font>
      <b/>
      <sz val="10"/>
      <color rgb="FFFF0000"/>
      <name val="Arial"/>
      <family val="2"/>
    </font>
    <font>
      <b/>
      <sz val="11"/>
      <color theme="1"/>
      <name val="Aptos Narrow"/>
      <family val="2"/>
      <scheme val="minor"/>
    </font>
    <font>
      <sz val="11"/>
      <color rgb="FF0000FF"/>
      <name val="Aptos Narrow"/>
      <family val="2"/>
      <scheme val="minor"/>
    </font>
    <font>
      <sz val="11"/>
      <color rgb="FF009B73"/>
      <name val="Aptos Narrow"/>
      <family val="2"/>
      <scheme val="minor"/>
    </font>
    <font>
      <i/>
      <sz val="11"/>
      <color theme="1"/>
      <name val="Aptos Narrow"/>
      <family val="2"/>
      <scheme val="minor"/>
    </font>
    <font>
      <sz val="11"/>
      <color theme="0"/>
      <name val="Aptos Narrow"/>
      <family val="2"/>
      <scheme val="minor"/>
    </font>
    <font>
      <sz val="10"/>
      <color theme="1"/>
      <name val="Aptos Narrow"/>
      <family val="2"/>
      <scheme val="minor"/>
    </font>
    <font>
      <sz val="11"/>
      <name val="Aptos Narrow"/>
      <family val="2"/>
      <scheme val="minor"/>
    </font>
    <font>
      <i/>
      <sz val="11"/>
      <name val="Aptos Narrow"/>
      <family val="2"/>
      <scheme val="minor"/>
    </font>
    <font>
      <sz val="8"/>
      <color theme="1"/>
      <name val="Aptos Narrow"/>
      <family val="2"/>
      <scheme val="minor"/>
    </font>
    <font>
      <b/>
      <sz val="7.5"/>
      <color theme="1"/>
      <name val="Aptos Narrow"/>
      <family val="2"/>
      <scheme val="minor"/>
    </font>
    <font>
      <sz val="7.5"/>
      <color theme="1"/>
      <name val="Aptos Narrow"/>
      <family val="2"/>
      <scheme val="minor"/>
    </font>
    <font>
      <i/>
      <sz val="11"/>
      <color rgb="FF0000FF"/>
      <name val="Aptos Narrow"/>
      <family val="2"/>
      <scheme val="minor"/>
    </font>
    <font>
      <b/>
      <sz val="9"/>
      <color indexed="81"/>
      <name val="Tahoma"/>
      <family val="2"/>
    </font>
  </fonts>
  <fills count="5">
    <fill>
      <patternFill patternType="none"/>
    </fill>
    <fill>
      <patternFill patternType="gray125"/>
    </fill>
    <fill>
      <patternFill patternType="solid">
        <fgColor rgb="FF23395B"/>
        <bgColor indexed="64"/>
      </patternFill>
    </fill>
    <fill>
      <patternFill patternType="solid">
        <fgColor rgb="FF06D6A0"/>
        <bgColor indexed="64"/>
      </patternFill>
    </fill>
    <fill>
      <patternFill patternType="solid">
        <fgColor rgb="FF406E8E"/>
        <bgColor indexed="64"/>
      </patternFill>
    </fill>
  </fills>
  <borders count="46">
    <border>
      <left/>
      <right/>
      <top/>
      <bottom/>
      <diagonal/>
    </border>
    <border>
      <left/>
      <right/>
      <top/>
      <bottom style="medium">
        <color indexed="64"/>
      </bottom>
      <diagonal/>
    </border>
    <border>
      <left style="thin">
        <color rgb="FF002F6C"/>
      </left>
      <right/>
      <top style="thin">
        <color rgb="FF002F6C"/>
      </top>
      <bottom/>
      <diagonal/>
    </border>
    <border>
      <left/>
      <right/>
      <top style="thin">
        <color rgb="FF002F6C"/>
      </top>
      <bottom/>
      <diagonal/>
    </border>
    <border>
      <left/>
      <right/>
      <top style="thin">
        <color rgb="FF002F6C"/>
      </top>
      <bottom style="thin">
        <color theme="0"/>
      </bottom>
      <diagonal/>
    </border>
    <border>
      <left/>
      <right style="thin">
        <color rgb="FF002F6C"/>
      </right>
      <top style="thin">
        <color rgb="FF002F6C"/>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rgb="FF002F6C"/>
      </left>
      <right/>
      <top/>
      <bottom/>
      <diagonal/>
    </border>
    <border>
      <left/>
      <right style="thin">
        <color rgb="FF002F6C"/>
      </right>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bottom style="dotted">
        <color rgb="FF009966"/>
      </bottom>
      <diagonal/>
    </border>
    <border>
      <left style="thin">
        <color rgb="FF002F6C"/>
      </left>
      <right/>
      <top/>
      <bottom style="thin">
        <color rgb="FF002F6C"/>
      </bottom>
      <diagonal/>
    </border>
    <border>
      <left/>
      <right/>
      <top/>
      <bottom style="thin">
        <color rgb="FF002F6C"/>
      </bottom>
      <diagonal/>
    </border>
    <border>
      <left/>
      <right style="thin">
        <color rgb="FF002F6C"/>
      </right>
      <top/>
      <bottom style="thin">
        <color rgb="FF002F6C"/>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4586BB"/>
      </bottom>
      <diagonal/>
    </border>
    <border>
      <left style="thin">
        <color rgb="FF4586BB"/>
      </left>
      <right/>
      <top style="thin">
        <color rgb="FF4586BB"/>
      </top>
      <bottom/>
      <diagonal/>
    </border>
    <border>
      <left/>
      <right/>
      <top style="thin">
        <color rgb="FF4586BB"/>
      </top>
      <bottom/>
      <diagonal/>
    </border>
    <border>
      <left/>
      <right style="thin">
        <color rgb="FF4586BB"/>
      </right>
      <top style="thin">
        <color rgb="FF4586BB"/>
      </top>
      <bottom/>
      <diagonal/>
    </border>
    <border>
      <left style="thin">
        <color rgb="FF4586BB"/>
      </left>
      <right/>
      <top/>
      <bottom/>
      <diagonal/>
    </border>
    <border>
      <left/>
      <right style="thin">
        <color rgb="FF4586BB"/>
      </right>
      <top/>
      <bottom/>
      <diagonal/>
    </border>
    <border>
      <left style="thin">
        <color rgb="FF4586BB"/>
      </left>
      <right/>
      <top/>
      <bottom style="thin">
        <color rgb="FF4586BB"/>
      </bottom>
      <diagonal/>
    </border>
    <border>
      <left/>
      <right style="thin">
        <color rgb="FF4586BB"/>
      </right>
      <top/>
      <bottom style="thin">
        <color rgb="FF4586BB"/>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style="double">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0" fontId="30" fillId="0" borderId="0"/>
    <xf numFmtId="9" fontId="1" fillId="0" borderId="0" applyFont="0" applyFill="0" applyBorder="0" applyAlignment="0" applyProtection="0"/>
  </cellStyleXfs>
  <cellXfs count="633">
    <xf numFmtId="0" fontId="0" fillId="0" borderId="0" xfId="0"/>
    <xf numFmtId="0" fontId="3" fillId="0" borderId="0" xfId="2" applyFont="1" applyAlignment="1" applyProtection="1">
      <alignment horizontal="centerContinuous"/>
      <protection locked="0"/>
    </xf>
    <xf numFmtId="0" fontId="4" fillId="0" borderId="0" xfId="2" applyFont="1" applyAlignment="1" applyProtection="1">
      <alignment horizontal="centerContinuous"/>
      <protection locked="0"/>
    </xf>
    <xf numFmtId="0" fontId="5" fillId="0" borderId="0" xfId="2" applyFont="1" applyAlignment="1" applyProtection="1">
      <alignment horizontal="centerContinuous"/>
      <protection locked="0"/>
    </xf>
    <xf numFmtId="0" fontId="2" fillId="0" borderId="0" xfId="2" applyProtection="1">
      <protection locked="0"/>
    </xf>
    <xf numFmtId="0" fontId="6" fillId="0" borderId="0" xfId="2" applyFont="1" applyAlignment="1" applyProtection="1">
      <alignment horizontal="centerContinuous"/>
      <protection locked="0"/>
    </xf>
    <xf numFmtId="0" fontId="2" fillId="0" borderId="1" xfId="2" applyBorder="1" applyProtection="1">
      <protection locked="0"/>
    </xf>
    <xf numFmtId="0" fontId="7" fillId="0" borderId="0" xfId="2" applyFont="1" applyAlignment="1" applyProtection="1">
      <alignment horizontal="centerContinuous"/>
      <protection locked="0"/>
    </xf>
    <xf numFmtId="0" fontId="8" fillId="0" borderId="0" xfId="2" applyFont="1" applyAlignment="1" applyProtection="1">
      <alignment horizontal="centerContinuous"/>
      <protection locked="0"/>
    </xf>
    <xf numFmtId="0" fontId="9" fillId="0" borderId="0" xfId="2" applyFont="1" applyAlignment="1" applyProtection="1">
      <alignment horizontal="centerContinuous"/>
      <protection locked="0"/>
    </xf>
    <xf numFmtId="0" fontId="2" fillId="0" borderId="0" xfId="2" applyAlignment="1" applyProtection="1">
      <alignment vertical="center"/>
      <protection locked="0"/>
    </xf>
    <xf numFmtId="0" fontId="2" fillId="0" borderId="6" xfId="2" applyBorder="1" applyAlignment="1" applyProtection="1">
      <alignment vertical="center"/>
      <protection locked="0"/>
    </xf>
    <xf numFmtId="0" fontId="2" fillId="0" borderId="7" xfId="2" applyBorder="1" applyAlignment="1" applyProtection="1">
      <alignment vertical="center"/>
      <protection locked="0"/>
    </xf>
    <xf numFmtId="0" fontId="13" fillId="0" borderId="8" xfId="2" applyFont="1" applyBorder="1" applyAlignment="1" applyProtection="1">
      <alignment horizontal="centerContinuous" vertical="center"/>
      <protection locked="0"/>
    </xf>
    <xf numFmtId="0" fontId="14" fillId="0" borderId="8" xfId="2" applyFont="1" applyBorder="1" applyAlignment="1" applyProtection="1">
      <alignment horizontal="centerContinuous" vertical="center"/>
      <protection locked="0"/>
    </xf>
    <xf numFmtId="0" fontId="2" fillId="0" borderId="9" xfId="2" applyBorder="1" applyAlignment="1" applyProtection="1">
      <alignment vertical="center"/>
      <protection locked="0"/>
    </xf>
    <xf numFmtId="0" fontId="2" fillId="0" borderId="12" xfId="2" applyBorder="1" applyAlignment="1" applyProtection="1">
      <alignment vertical="center"/>
      <protection locked="0"/>
    </xf>
    <xf numFmtId="0" fontId="2" fillId="0" borderId="13" xfId="2" applyBorder="1" applyAlignment="1" applyProtection="1">
      <alignment vertical="center"/>
      <protection locked="0"/>
    </xf>
    <xf numFmtId="164" fontId="8" fillId="0" borderId="13" xfId="0" applyNumberFormat="1" applyFont="1" applyBorder="1" applyAlignment="1" applyProtection="1">
      <alignment vertical="center"/>
      <protection locked="0"/>
    </xf>
    <xf numFmtId="0" fontId="8" fillId="0" borderId="13" xfId="0" applyFont="1" applyBorder="1" applyAlignment="1" applyProtection="1">
      <alignment vertical="center"/>
      <protection locked="0"/>
    </xf>
    <xf numFmtId="0" fontId="2" fillId="0" borderId="14" xfId="2" applyBorder="1" applyAlignment="1" applyProtection="1">
      <alignment vertical="center"/>
      <protection locked="0"/>
    </xf>
    <xf numFmtId="0" fontId="2" fillId="0" borderId="12" xfId="2" applyBorder="1" applyProtection="1">
      <protection locked="0"/>
    </xf>
    <xf numFmtId="164" fontId="16" fillId="0" borderId="0" xfId="0" applyNumberFormat="1" applyFont="1" applyProtection="1">
      <protection locked="0"/>
    </xf>
    <xf numFmtId="165" fontId="16" fillId="0" borderId="0" xfId="0" quotePrefix="1" applyNumberFormat="1" applyFont="1" applyAlignment="1" applyProtection="1">
      <alignment horizontal="right"/>
      <protection locked="0"/>
    </xf>
    <xf numFmtId="0" fontId="16" fillId="0" borderId="0" xfId="0" applyFont="1" applyProtection="1">
      <protection locked="0"/>
    </xf>
    <xf numFmtId="0" fontId="2" fillId="0" borderId="14" xfId="2" applyBorder="1" applyProtection="1">
      <protection locked="0"/>
    </xf>
    <xf numFmtId="0" fontId="2" fillId="0" borderId="10" xfId="2" applyBorder="1" applyProtection="1">
      <protection locked="0"/>
    </xf>
    <xf numFmtId="0" fontId="8" fillId="0" borderId="0" xfId="2" applyFont="1" applyProtection="1">
      <protection locked="0"/>
    </xf>
    <xf numFmtId="0" fontId="2" fillId="0" borderId="11" xfId="2" applyBorder="1" applyProtection="1">
      <protection locked="0"/>
    </xf>
    <xf numFmtId="0" fontId="17" fillId="0" borderId="0" xfId="2" applyFont="1" applyProtection="1">
      <protection locked="0"/>
    </xf>
    <xf numFmtId="166" fontId="18" fillId="0" borderId="0" xfId="1" applyNumberFormat="1" applyFont="1" applyFill="1" applyBorder="1" applyProtection="1">
      <protection locked="0"/>
    </xf>
    <xf numFmtId="0" fontId="19" fillId="0" borderId="0" xfId="2" applyFont="1" applyProtection="1">
      <protection locked="0"/>
    </xf>
    <xf numFmtId="166" fontId="2" fillId="0" borderId="0" xfId="1" applyNumberFormat="1" applyFont="1" applyBorder="1" applyProtection="1">
      <protection locked="0"/>
    </xf>
    <xf numFmtId="0" fontId="20" fillId="0" borderId="0" xfId="2" applyFont="1" applyProtection="1">
      <protection locked="0"/>
    </xf>
    <xf numFmtId="0" fontId="21" fillId="0" borderId="0" xfId="2" applyFont="1" applyProtection="1">
      <protection locked="0"/>
    </xf>
    <xf numFmtId="0" fontId="18" fillId="0" borderId="0" xfId="2" applyFont="1" applyProtection="1">
      <protection locked="0"/>
    </xf>
    <xf numFmtId="167" fontId="22" fillId="0" borderId="0" xfId="0" applyNumberFormat="1" applyFont="1" applyProtection="1">
      <protection locked="0"/>
    </xf>
    <xf numFmtId="167" fontId="20" fillId="0" borderId="0" xfId="0" applyNumberFormat="1" applyFont="1" applyProtection="1">
      <protection locked="0"/>
    </xf>
    <xf numFmtId="0" fontId="23" fillId="0" borderId="0" xfId="2" applyFont="1" applyProtection="1">
      <protection locked="0"/>
    </xf>
    <xf numFmtId="0" fontId="18" fillId="0" borderId="15" xfId="2" applyFont="1" applyBorder="1" applyProtection="1">
      <protection locked="0"/>
    </xf>
    <xf numFmtId="166" fontId="2" fillId="0" borderId="11" xfId="1" applyNumberFormat="1" applyFont="1" applyBorder="1" applyProtection="1">
      <protection locked="0"/>
    </xf>
    <xf numFmtId="167" fontId="14" fillId="0" borderId="11" xfId="0" applyNumberFormat="1" applyFont="1" applyBorder="1" applyProtection="1">
      <protection locked="0"/>
    </xf>
    <xf numFmtId="0" fontId="24" fillId="0" borderId="0" xfId="2" applyFont="1" applyProtection="1">
      <protection locked="0"/>
    </xf>
    <xf numFmtId="0" fontId="25" fillId="0" borderId="0" xfId="2" applyFont="1" applyProtection="1">
      <protection locked="0"/>
    </xf>
    <xf numFmtId="0" fontId="2" fillId="0" borderId="16" xfId="2" applyBorder="1" applyProtection="1">
      <protection locked="0"/>
    </xf>
    <xf numFmtId="0" fontId="2" fillId="0" borderId="17" xfId="2" applyBorder="1" applyProtection="1">
      <protection locked="0"/>
    </xf>
    <xf numFmtId="0" fontId="2" fillId="0" borderId="17" xfId="2" applyBorder="1" applyAlignment="1" applyProtection="1">
      <alignment horizontal="left"/>
      <protection locked="0"/>
    </xf>
    <xf numFmtId="0" fontId="2" fillId="0" borderId="18" xfId="2" applyBorder="1" applyProtection="1">
      <protection locked="0"/>
    </xf>
    <xf numFmtId="0" fontId="2" fillId="0" borderId="19" xfId="2" applyBorder="1" applyProtection="1">
      <protection locked="0"/>
    </xf>
    <xf numFmtId="0" fontId="2" fillId="0" borderId="13" xfId="2" applyBorder="1" applyProtection="1">
      <protection locked="0"/>
    </xf>
    <xf numFmtId="0" fontId="2" fillId="0" borderId="20" xfId="2" applyBorder="1" applyProtection="1">
      <protection locked="0"/>
    </xf>
    <xf numFmtId="0" fontId="14" fillId="0" borderId="0" xfId="2" applyFont="1" applyProtection="1">
      <protection locked="0"/>
    </xf>
    <xf numFmtId="167" fontId="14" fillId="0" borderId="0" xfId="0" applyNumberFormat="1" applyFont="1" applyProtection="1">
      <protection locked="0"/>
    </xf>
    <xf numFmtId="0" fontId="2" fillId="0" borderId="0" xfId="2" applyAlignment="1" applyProtection="1">
      <alignment horizontal="right"/>
      <protection locked="0"/>
    </xf>
    <xf numFmtId="0" fontId="0" fillId="0" borderId="0" xfId="0" applyProtection="1">
      <protection locked="0"/>
    </xf>
    <xf numFmtId="0" fontId="3" fillId="0" borderId="0" xfId="0" applyFont="1" applyAlignment="1" applyProtection="1">
      <alignment horizontal="centerContinuous"/>
      <protection locked="0"/>
    </xf>
    <xf numFmtId="0" fontId="26" fillId="0" borderId="0" xfId="0" applyFont="1" applyAlignment="1" applyProtection="1">
      <alignment horizontal="centerContinuous"/>
      <protection locked="0"/>
    </xf>
    <xf numFmtId="0" fontId="0" fillId="0" borderId="0" xfId="0" applyAlignment="1" applyProtection="1">
      <alignment horizontal="centerContinuous"/>
      <protection locked="0"/>
    </xf>
    <xf numFmtId="0" fontId="27" fillId="0" borderId="0" xfId="0" applyFont="1" applyAlignment="1" applyProtection="1">
      <alignment horizontal="centerContinuous"/>
      <protection locked="0"/>
    </xf>
    <xf numFmtId="0" fontId="27" fillId="0" borderId="1" xfId="0" applyFont="1" applyBorder="1" applyProtection="1">
      <protection locked="0"/>
    </xf>
    <xf numFmtId="0" fontId="0" fillId="0" borderId="1" xfId="0" applyBorder="1" applyProtection="1">
      <protection locked="0"/>
    </xf>
    <xf numFmtId="0" fontId="0" fillId="0" borderId="25" xfId="0" applyBorder="1" applyAlignment="1" applyProtection="1">
      <alignment horizontal="center" vertical="center"/>
      <protection locked="0"/>
    </xf>
    <xf numFmtId="0" fontId="0" fillId="0" borderId="0" xfId="0" applyAlignment="1" applyProtection="1">
      <alignment horizontal="left"/>
      <protection locked="0"/>
    </xf>
    <xf numFmtId="0" fontId="0" fillId="0" borderId="26" xfId="0" applyBorder="1" applyProtection="1">
      <protection locked="0"/>
    </xf>
    <xf numFmtId="0" fontId="0" fillId="0" borderId="25" xfId="0" applyBorder="1" applyProtection="1">
      <protection locked="0"/>
    </xf>
    <xf numFmtId="37" fontId="28" fillId="0" borderId="0" xfId="0" applyNumberFormat="1" applyFont="1" applyAlignment="1" applyProtection="1">
      <alignment horizontal="right"/>
      <protection locked="0"/>
    </xf>
    <xf numFmtId="0" fontId="0" fillId="0" borderId="0" xfId="0" quotePrefix="1" applyAlignment="1" applyProtection="1">
      <alignment horizontal="left"/>
      <protection locked="0"/>
    </xf>
    <xf numFmtId="39" fontId="28" fillId="0" borderId="26" xfId="0" applyNumberFormat="1" applyFont="1" applyBorder="1" applyAlignment="1" applyProtection="1">
      <alignment horizontal="right"/>
      <protection locked="0"/>
    </xf>
    <xf numFmtId="0" fontId="0" fillId="0" borderId="27" xfId="0" applyBorder="1" applyAlignment="1" applyProtection="1">
      <alignment horizontal="center" vertical="center"/>
      <protection locked="0"/>
    </xf>
    <xf numFmtId="0" fontId="0" fillId="0" borderId="21" xfId="0" applyBorder="1" applyAlignment="1" applyProtection="1">
      <alignment horizontal="left"/>
      <protection locked="0"/>
    </xf>
    <xf numFmtId="0" fontId="0" fillId="0" borderId="21" xfId="0" applyBorder="1" applyProtection="1">
      <protection locked="0"/>
    </xf>
    <xf numFmtId="0" fontId="0" fillId="0" borderId="28" xfId="0" applyBorder="1" applyProtection="1">
      <protection locked="0"/>
    </xf>
    <xf numFmtId="0" fontId="0" fillId="0" borderId="27" xfId="0" applyBorder="1" applyProtection="1">
      <protection locked="0"/>
    </xf>
    <xf numFmtId="37" fontId="28" fillId="0" borderId="21" xfId="0" applyNumberFormat="1" applyFont="1" applyBorder="1" applyAlignment="1" applyProtection="1">
      <alignment horizontal="right"/>
      <protection locked="0"/>
    </xf>
    <xf numFmtId="168" fontId="28" fillId="0" borderId="28" xfId="0" quotePrefix="1" applyNumberFormat="1" applyFont="1" applyBorder="1" applyAlignment="1" applyProtection="1">
      <alignment horizontal="right"/>
      <protection locked="0"/>
    </xf>
    <xf numFmtId="39" fontId="28" fillId="0" borderId="0" xfId="0" applyNumberFormat="1" applyFont="1" applyAlignment="1" applyProtection="1">
      <alignment horizontal="right"/>
      <protection locked="0"/>
    </xf>
    <xf numFmtId="0" fontId="0" fillId="0" borderId="0" xfId="0" applyAlignment="1" applyProtection="1">
      <alignment vertical="center"/>
      <protection locked="0"/>
    </xf>
    <xf numFmtId="0" fontId="0" fillId="0" borderId="25" xfId="0" quotePrefix="1" applyBorder="1" applyAlignment="1" applyProtection="1">
      <alignment horizontal="left"/>
      <protection locked="0"/>
    </xf>
    <xf numFmtId="37" fontId="28" fillId="0" borderId="26" xfId="0" applyNumberFormat="1" applyFont="1" applyBorder="1" applyAlignment="1" applyProtection="1">
      <alignment horizontal="right"/>
      <protection locked="0"/>
    </xf>
    <xf numFmtId="0" fontId="29" fillId="0" borderId="0" xfId="0" applyFont="1" applyAlignment="1" applyProtection="1">
      <alignment vertical="center"/>
      <protection locked="0"/>
    </xf>
    <xf numFmtId="0" fontId="28" fillId="0" borderId="25" xfId="0" applyFont="1" applyBorder="1" applyProtection="1">
      <protection locked="0"/>
    </xf>
    <xf numFmtId="0" fontId="0" fillId="0" borderId="26" xfId="0" applyBorder="1" applyAlignment="1" applyProtection="1">
      <alignment horizontal="centerContinuous"/>
      <protection locked="0"/>
    </xf>
    <xf numFmtId="0" fontId="8" fillId="0" borderId="0" xfId="0" applyFont="1" applyAlignment="1" applyProtection="1">
      <alignment horizontal="left" vertical="center"/>
      <protection locked="0"/>
    </xf>
    <xf numFmtId="0" fontId="28" fillId="0" borderId="27" xfId="0" applyFont="1" applyBorder="1" applyAlignment="1" applyProtection="1">
      <alignment horizontal="left"/>
      <protection locked="0"/>
    </xf>
    <xf numFmtId="0" fontId="0" fillId="0" borderId="28" xfId="0" applyBorder="1" applyAlignment="1" applyProtection="1">
      <alignment horizontal="centerContinuous"/>
      <protection locked="0"/>
    </xf>
    <xf numFmtId="0" fontId="16" fillId="0" borderId="25" xfId="0" applyFont="1" applyBorder="1" applyProtection="1">
      <protection locked="0"/>
    </xf>
    <xf numFmtId="0" fontId="0" fillId="0" borderId="25" xfId="0" applyBorder="1" applyAlignment="1" applyProtection="1">
      <alignment horizontal="left" vertical="center"/>
      <protection locked="0"/>
    </xf>
    <xf numFmtId="169" fontId="28" fillId="0" borderId="0" xfId="0" applyNumberFormat="1" applyFont="1" applyProtection="1">
      <protection locked="0"/>
    </xf>
    <xf numFmtId="0" fontId="0" fillId="0" borderId="25" xfId="0" applyBorder="1" applyAlignment="1" applyProtection="1">
      <alignment horizontal="left"/>
      <protection locked="0"/>
    </xf>
    <xf numFmtId="0" fontId="28" fillId="0" borderId="0" xfId="0" applyFont="1" applyProtection="1">
      <protection locked="0"/>
    </xf>
    <xf numFmtId="168" fontId="28" fillId="0" borderId="26" xfId="0" applyNumberFormat="1" applyFont="1" applyBorder="1" applyAlignment="1" applyProtection="1">
      <alignment horizontal="right"/>
      <protection locked="0"/>
    </xf>
    <xf numFmtId="170" fontId="0" fillId="0" borderId="25" xfId="0" applyNumberFormat="1" applyBorder="1" applyAlignment="1" applyProtection="1">
      <alignment horizontal="left"/>
      <protection locked="0"/>
    </xf>
    <xf numFmtId="170" fontId="0" fillId="0" borderId="0" xfId="0" quotePrefix="1" applyNumberFormat="1" applyAlignment="1" applyProtection="1">
      <alignment horizontal="left"/>
      <protection locked="0"/>
    </xf>
    <xf numFmtId="171" fontId="28" fillId="0" borderId="26" xfId="0" applyNumberFormat="1" applyFont="1" applyBorder="1" applyAlignment="1" applyProtection="1">
      <alignment horizontal="right"/>
      <protection locked="0"/>
    </xf>
    <xf numFmtId="168" fontId="28" fillId="0" borderId="26" xfId="0" quotePrefix="1" applyNumberFormat="1" applyFont="1" applyBorder="1" applyAlignment="1" applyProtection="1">
      <alignment horizontal="right"/>
      <protection locked="0"/>
    </xf>
    <xf numFmtId="170" fontId="0" fillId="0" borderId="21" xfId="0" quotePrefix="1" applyNumberFormat="1" applyBorder="1" applyAlignment="1" applyProtection="1">
      <alignment horizontal="left"/>
      <protection locked="0"/>
    </xf>
    <xf numFmtId="171" fontId="28" fillId="0" borderId="28" xfId="0" applyNumberFormat="1" applyFont="1" applyBorder="1" applyAlignment="1" applyProtection="1">
      <alignment horizontal="right"/>
      <protection locked="0"/>
    </xf>
    <xf numFmtId="0" fontId="0" fillId="0" borderId="13" xfId="0" applyBorder="1" applyProtection="1">
      <protection locked="0"/>
    </xf>
    <xf numFmtId="173" fontId="0" fillId="0" borderId="13" xfId="0" applyNumberFormat="1" applyBorder="1" applyAlignment="1" applyProtection="1">
      <alignment horizontal="left"/>
      <protection locked="0"/>
    </xf>
    <xf numFmtId="0" fontId="0" fillId="0" borderId="13" xfId="0" applyBorder="1" applyAlignment="1" applyProtection="1">
      <alignment horizontal="centerContinuous"/>
      <protection locked="0"/>
    </xf>
    <xf numFmtId="0" fontId="0" fillId="0" borderId="0" xfId="0" applyAlignment="1" applyProtection="1">
      <alignment horizontal="center" vertical="center"/>
      <protection locked="0"/>
    </xf>
    <xf numFmtId="171" fontId="28" fillId="0" borderId="0" xfId="0" applyNumberFormat="1" applyFont="1" applyAlignment="1" applyProtection="1">
      <alignment horizontal="right"/>
      <protection locked="0"/>
    </xf>
    <xf numFmtId="0" fontId="0" fillId="0" borderId="0" xfId="0" quotePrefix="1" applyProtection="1">
      <protection locked="0"/>
    </xf>
    <xf numFmtId="0" fontId="8" fillId="0" borderId="25" xfId="0" applyFont="1" applyBorder="1" applyProtection="1">
      <protection locked="0"/>
    </xf>
    <xf numFmtId="172" fontId="28" fillId="0" borderId="0" xfId="0" applyNumberFormat="1" applyFont="1" applyProtection="1">
      <protection locked="0"/>
    </xf>
    <xf numFmtId="172" fontId="28" fillId="0" borderId="26" xfId="0" applyNumberFormat="1" applyFont="1" applyBorder="1" applyProtection="1">
      <protection locked="0"/>
    </xf>
    <xf numFmtId="0" fontId="8" fillId="0" borderId="25" xfId="0" applyFont="1" applyBorder="1" applyAlignment="1" applyProtection="1">
      <alignment horizontal="left" vertical="center"/>
      <protection locked="0"/>
    </xf>
    <xf numFmtId="174" fontId="28" fillId="0" borderId="21" xfId="0" applyNumberFormat="1" applyFont="1" applyBorder="1" applyProtection="1">
      <protection locked="0"/>
    </xf>
    <xf numFmtId="174" fontId="28" fillId="0" borderId="28" xfId="0" applyNumberFormat="1" applyFont="1" applyBorder="1" applyProtection="1">
      <protection locked="0"/>
    </xf>
    <xf numFmtId="173" fontId="0" fillId="0" borderId="0" xfId="0" applyNumberFormat="1" applyAlignment="1" applyProtection="1">
      <alignment horizontal="left"/>
      <protection locked="0"/>
    </xf>
    <xf numFmtId="0" fontId="31" fillId="0" borderId="0" xfId="3" applyFont="1"/>
    <xf numFmtId="0" fontId="3" fillId="0" borderId="0" xfId="3" applyFont="1" applyAlignment="1">
      <alignment horizontal="centerContinuous"/>
    </xf>
    <xf numFmtId="0" fontId="32" fillId="0" borderId="0" xfId="3" applyFont="1" applyAlignment="1">
      <alignment horizontal="centerContinuous"/>
    </xf>
    <xf numFmtId="0" fontId="2" fillId="0" borderId="0" xfId="3" applyFont="1"/>
    <xf numFmtId="0" fontId="6" fillId="0" borderId="0" xfId="3" applyFont="1" applyAlignment="1">
      <alignment horizontal="centerContinuous"/>
    </xf>
    <xf numFmtId="0" fontId="2" fillId="0" borderId="1" xfId="3" applyFont="1" applyBorder="1"/>
    <xf numFmtId="0" fontId="2" fillId="0" borderId="1" xfId="3" applyFont="1" applyBorder="1" applyAlignment="1">
      <alignment horizontal="center"/>
    </xf>
    <xf numFmtId="0" fontId="14" fillId="0" borderId="0" xfId="3" quotePrefix="1" applyFont="1" applyAlignment="1">
      <alignment horizontal="left"/>
    </xf>
    <xf numFmtId="0" fontId="14" fillId="0" borderId="0" xfId="3" quotePrefix="1" applyFont="1" applyAlignment="1">
      <alignment horizontal="center"/>
    </xf>
    <xf numFmtId="0" fontId="2" fillId="0" borderId="6" xfId="3" applyFont="1" applyBorder="1"/>
    <xf numFmtId="0" fontId="2" fillId="0" borderId="7" xfId="3" applyFont="1" applyBorder="1"/>
    <xf numFmtId="0" fontId="2" fillId="0" borderId="7" xfId="3" applyFont="1" applyBorder="1" applyAlignment="1">
      <alignment horizontal="center"/>
    </xf>
    <xf numFmtId="0" fontId="2" fillId="0" borderId="9" xfId="3" applyFont="1" applyBorder="1" applyAlignment="1">
      <alignment horizontal="center"/>
    </xf>
    <xf numFmtId="0" fontId="8" fillId="0" borderId="13" xfId="3" applyFont="1" applyBorder="1" applyAlignment="1">
      <alignment horizontal="centerContinuous"/>
    </xf>
    <xf numFmtId="0" fontId="8" fillId="0" borderId="12" xfId="3" applyFont="1" applyBorder="1" applyAlignment="1">
      <alignment vertical="center"/>
    </xf>
    <xf numFmtId="0" fontId="8" fillId="0" borderId="0" xfId="3" applyFont="1"/>
    <xf numFmtId="0" fontId="33" fillId="0" borderId="0" xfId="3" applyFont="1" applyAlignment="1">
      <alignment horizontal="center" vertical="center"/>
    </xf>
    <xf numFmtId="0" fontId="33" fillId="0" borderId="14" xfId="3" applyFont="1" applyBorder="1" applyAlignment="1">
      <alignment horizontal="center" vertical="center"/>
    </xf>
    <xf numFmtId="0" fontId="8" fillId="0" borderId="0" xfId="3" quotePrefix="1" applyFont="1" applyAlignment="1">
      <alignment horizontal="right"/>
    </xf>
    <xf numFmtId="0" fontId="8" fillId="0" borderId="19" xfId="3" applyFont="1" applyBorder="1"/>
    <xf numFmtId="0" fontId="8" fillId="0" borderId="13" xfId="3" applyFont="1" applyBorder="1"/>
    <xf numFmtId="0" fontId="8" fillId="0" borderId="13" xfId="3" applyFont="1" applyBorder="1" applyAlignment="1">
      <alignment horizontal="center"/>
    </xf>
    <xf numFmtId="0" fontId="8" fillId="0" borderId="20" xfId="3" applyFont="1" applyBorder="1" applyAlignment="1">
      <alignment horizontal="center"/>
    </xf>
    <xf numFmtId="0" fontId="16" fillId="0" borderId="0" xfId="3" quotePrefix="1" applyFont="1" applyAlignment="1">
      <alignment horizontal="right"/>
    </xf>
    <xf numFmtId="0" fontId="16" fillId="0" borderId="0" xfId="3" applyFont="1" applyAlignment="1">
      <alignment horizontal="right"/>
    </xf>
    <xf numFmtId="0" fontId="8" fillId="0" borderId="0" xfId="3" applyFont="1" applyAlignment="1">
      <alignment horizontal="center"/>
    </xf>
    <xf numFmtId="0" fontId="34" fillId="0" borderId="0" xfId="3" quotePrefix="1" applyFont="1" applyAlignment="1">
      <alignment horizontal="left"/>
    </xf>
    <xf numFmtId="0" fontId="35" fillId="0" borderId="0" xfId="3" applyFont="1" applyAlignment="1">
      <alignment horizontal="left"/>
    </xf>
    <xf numFmtId="0" fontId="2" fillId="0" borderId="0" xfId="3" applyFont="1" applyAlignment="1">
      <alignment horizontal="center"/>
    </xf>
    <xf numFmtId="0" fontId="8" fillId="0" borderId="0" xfId="3" applyFont="1" applyAlignment="1">
      <alignment horizontal="left" vertical="center"/>
    </xf>
    <xf numFmtId="0" fontId="33" fillId="0" borderId="0" xfId="3" applyFont="1" applyAlignment="1">
      <alignment horizontal="center"/>
    </xf>
    <xf numFmtId="168" fontId="8" fillId="0" borderId="29" xfId="0" applyNumberFormat="1" applyFont="1" applyBorder="1" applyAlignment="1">
      <alignment vertical="center"/>
    </xf>
    <xf numFmtId="168" fontId="8" fillId="0" borderId="8" xfId="0" applyNumberFormat="1" applyFont="1" applyBorder="1" applyAlignment="1">
      <alignment vertical="center"/>
    </xf>
    <xf numFmtId="168" fontId="8" fillId="0" borderId="30" xfId="0" applyNumberFormat="1" applyFont="1" applyBorder="1" applyAlignment="1">
      <alignment vertical="center"/>
    </xf>
    <xf numFmtId="0" fontId="8" fillId="0" borderId="0" xfId="3" quotePrefix="1" applyFont="1" applyAlignment="1">
      <alignment horizontal="left"/>
    </xf>
    <xf numFmtId="168" fontId="28" fillId="0" borderId="0" xfId="0" applyNumberFormat="1" applyFont="1"/>
    <xf numFmtId="168" fontId="2" fillId="0" borderId="0" xfId="0" applyNumberFormat="1" applyFont="1"/>
    <xf numFmtId="168" fontId="36" fillId="0" borderId="31" xfId="0" applyNumberFormat="1" applyFont="1" applyBorder="1"/>
    <xf numFmtId="168" fontId="36" fillId="0" borderId="32" xfId="0" applyNumberFormat="1" applyFont="1" applyBorder="1"/>
    <xf numFmtId="168" fontId="36" fillId="0" borderId="33" xfId="0" applyNumberFormat="1" applyFont="1" applyBorder="1"/>
    <xf numFmtId="168" fontId="36" fillId="0" borderId="34" xfId="0" applyNumberFormat="1" applyFont="1" applyBorder="1"/>
    <xf numFmtId="168" fontId="36" fillId="0" borderId="0" xfId="0" applyNumberFormat="1" applyFont="1"/>
    <xf numFmtId="168" fontId="36" fillId="0" borderId="35" xfId="0" applyNumberFormat="1" applyFont="1" applyBorder="1"/>
    <xf numFmtId="168" fontId="36" fillId="0" borderId="36" xfId="0" applyNumberFormat="1" applyFont="1" applyBorder="1"/>
    <xf numFmtId="168" fontId="36" fillId="0" borderId="37" xfId="0" applyNumberFormat="1" applyFont="1" applyBorder="1"/>
    <xf numFmtId="168" fontId="36" fillId="0" borderId="38" xfId="0" applyNumberFormat="1" applyFont="1" applyBorder="1"/>
    <xf numFmtId="0" fontId="2" fillId="0" borderId="0" xfId="3" applyFont="1" applyAlignment="1">
      <alignment horizontal="left"/>
    </xf>
    <xf numFmtId="0" fontId="21" fillId="0" borderId="0" xfId="3" applyFont="1" applyAlignment="1">
      <alignment horizontal="center"/>
    </xf>
    <xf numFmtId="175" fontId="36" fillId="0" borderId="0" xfId="1" applyNumberFormat="1" applyFont="1" applyBorder="1" applyAlignment="1" applyProtection="1">
      <alignment horizontal="right"/>
    </xf>
    <xf numFmtId="175" fontId="37" fillId="0" borderId="0" xfId="1" applyNumberFormat="1" applyFont="1" applyBorder="1" applyAlignment="1" applyProtection="1">
      <alignment horizontal="right"/>
    </xf>
    <xf numFmtId="0" fontId="2" fillId="0" borderId="37" xfId="3" applyFont="1" applyBorder="1"/>
    <xf numFmtId="0" fontId="2" fillId="0" borderId="37" xfId="3" applyFont="1" applyBorder="1" applyAlignment="1">
      <alignment horizontal="center"/>
    </xf>
    <xf numFmtId="0" fontId="2" fillId="0" borderId="0" xfId="3" applyFont="1" applyAlignment="1">
      <alignment vertical="center"/>
    </xf>
    <xf numFmtId="0" fontId="8" fillId="0" borderId="0" xfId="3" applyFont="1" applyAlignment="1">
      <alignment horizontal="left"/>
    </xf>
    <xf numFmtId="176" fontId="38" fillId="0" borderId="0" xfId="0" applyNumberFormat="1" applyFont="1"/>
    <xf numFmtId="177" fontId="39" fillId="0" borderId="0" xfId="3" applyNumberFormat="1" applyFont="1"/>
    <xf numFmtId="0" fontId="2" fillId="0" borderId="0" xfId="3" quotePrefix="1" applyFont="1" applyAlignment="1">
      <alignment horizontal="left"/>
    </xf>
    <xf numFmtId="37" fontId="36" fillId="0" borderId="0" xfId="0" applyNumberFormat="1" applyFont="1"/>
    <xf numFmtId="37" fontId="21" fillId="0" borderId="0" xfId="0" applyNumberFormat="1" applyFont="1"/>
    <xf numFmtId="0" fontId="2" fillId="0" borderId="13" xfId="3" applyFont="1" applyBorder="1"/>
    <xf numFmtId="0" fontId="2" fillId="0" borderId="13" xfId="3" applyFont="1" applyBorder="1" applyAlignment="1">
      <alignment horizontal="center"/>
    </xf>
    <xf numFmtId="0" fontId="26" fillId="0" borderId="0" xfId="0" applyFont="1" applyAlignment="1">
      <alignment horizontal="left"/>
    </xf>
    <xf numFmtId="0" fontId="26" fillId="0" borderId="0" xfId="0" applyFont="1" applyAlignment="1">
      <alignment horizontal="centerContinuous"/>
    </xf>
    <xf numFmtId="0" fontId="0" fillId="0" borderId="0" xfId="0" applyAlignment="1">
      <alignment horizontal="centerContinuous"/>
    </xf>
    <xf numFmtId="0" fontId="21" fillId="0" borderId="0" xfId="0" applyFont="1" applyAlignment="1">
      <alignment horizontal="centerContinuous"/>
    </xf>
    <xf numFmtId="0" fontId="25" fillId="0" borderId="0" xfId="2" quotePrefix="1" applyFont="1" applyAlignment="1">
      <alignment horizontal="right" vertical="center"/>
    </xf>
    <xf numFmtId="0" fontId="3" fillId="0" borderId="0" xfId="0" applyFont="1" applyAlignment="1">
      <alignment horizontal="left"/>
    </xf>
    <xf numFmtId="0" fontId="3" fillId="0" borderId="0" xfId="0" applyFont="1" applyAlignment="1">
      <alignment horizontal="centerContinuous"/>
    </xf>
    <xf numFmtId="0" fontId="6" fillId="0" borderId="0" xfId="0" applyFont="1" applyAlignment="1">
      <alignment horizontal="left"/>
    </xf>
    <xf numFmtId="0" fontId="6" fillId="0" borderId="0" xfId="0" applyFont="1" applyAlignment="1">
      <alignment horizontal="centerContinuous"/>
    </xf>
    <xf numFmtId="0" fontId="40" fillId="0" borderId="0" xfId="0" applyFont="1" applyAlignment="1">
      <alignment horizontal="centerContinuous"/>
    </xf>
    <xf numFmtId="0" fontId="41" fillId="0" borderId="0" xfId="0" applyFont="1" applyAlignment="1">
      <alignment horizontal="centerContinuous"/>
    </xf>
    <xf numFmtId="0" fontId="6" fillId="0" borderId="1" xfId="0" applyFont="1" applyBorder="1" applyAlignment="1">
      <alignment horizontal="centerContinuous"/>
    </xf>
    <xf numFmtId="0" fontId="40" fillId="0" borderId="1" xfId="0" applyFont="1" applyBorder="1" applyAlignment="1">
      <alignment horizontal="centerContinuous"/>
    </xf>
    <xf numFmtId="0" fontId="41" fillId="0" borderId="1" xfId="0" applyFont="1" applyBorder="1" applyAlignment="1">
      <alignment horizontal="centerContinuous"/>
    </xf>
    <xf numFmtId="0" fontId="21" fillId="0" borderId="0" xfId="0" applyFont="1"/>
    <xf numFmtId="0" fontId="8" fillId="0" borderId="0" xfId="0" applyFont="1" applyAlignment="1">
      <alignment horizontal="centerContinuous"/>
    </xf>
    <xf numFmtId="0" fontId="13" fillId="0" borderId="13" xfId="0" applyFont="1" applyBorder="1" applyAlignment="1">
      <alignment horizontal="centerContinuous"/>
    </xf>
    <xf numFmtId="0" fontId="0" fillId="0" borderId="13" xfId="0" applyBorder="1" applyAlignment="1">
      <alignment horizontal="centerContinuous"/>
    </xf>
    <xf numFmtId="0" fontId="16" fillId="0" borderId="0" xfId="0" applyFont="1"/>
    <xf numFmtId="164" fontId="8" fillId="0" borderId="0" xfId="0" quotePrefix="1" applyNumberFormat="1" applyFont="1" applyAlignment="1">
      <alignment horizontal="right"/>
    </xf>
    <xf numFmtId="0" fontId="8" fillId="0" borderId="0" xfId="0" applyFont="1"/>
    <xf numFmtId="0" fontId="42" fillId="0" borderId="0" xfId="0" applyFont="1"/>
    <xf numFmtId="0" fontId="8" fillId="0" borderId="0" xfId="0" quotePrefix="1" applyFont="1" applyAlignment="1">
      <alignment horizontal="left"/>
    </xf>
    <xf numFmtId="0" fontId="19" fillId="0" borderId="0" xfId="0" applyFont="1"/>
    <xf numFmtId="168" fontId="0" fillId="0" borderId="0" xfId="0" applyNumberFormat="1"/>
    <xf numFmtId="0" fontId="0" fillId="0" borderId="0" xfId="0" quotePrefix="1" applyAlignment="1">
      <alignment horizontal="left"/>
    </xf>
    <xf numFmtId="0" fontId="0" fillId="0" borderId="0" xfId="0" applyAlignment="1">
      <alignment horizontal="left"/>
    </xf>
    <xf numFmtId="0" fontId="8" fillId="0" borderId="0" xfId="0" applyFont="1" applyAlignment="1">
      <alignment horizontal="left"/>
    </xf>
    <xf numFmtId="0" fontId="25" fillId="0" borderId="0" xfId="0" quotePrefix="1" applyFont="1" applyAlignment="1">
      <alignment horizontal="left"/>
    </xf>
    <xf numFmtId="0" fontId="0" fillId="0" borderId="37" xfId="0" applyBorder="1"/>
    <xf numFmtId="0" fontId="8" fillId="0" borderId="37" xfId="0" quotePrefix="1" applyFont="1" applyBorder="1" applyAlignment="1">
      <alignment horizontal="left"/>
    </xf>
    <xf numFmtId="0" fontId="25" fillId="0" borderId="37" xfId="0" quotePrefix="1" applyFont="1" applyBorder="1" applyAlignment="1">
      <alignment horizontal="left"/>
    </xf>
    <xf numFmtId="179" fontId="45" fillId="0" borderId="37" xfId="1" applyNumberFormat="1" applyFont="1" applyFill="1" applyBorder="1" applyProtection="1"/>
    <xf numFmtId="179" fontId="8" fillId="0" borderId="37" xfId="1" applyNumberFormat="1" applyFont="1" applyFill="1" applyBorder="1" applyProtection="1"/>
    <xf numFmtId="179" fontId="45" fillId="0" borderId="0" xfId="1" applyNumberFormat="1" applyFont="1" applyFill="1" applyProtection="1"/>
    <xf numFmtId="179" fontId="8" fillId="0" borderId="0" xfId="1" applyNumberFormat="1" applyFont="1" applyFill="1" applyProtection="1"/>
    <xf numFmtId="0" fontId="25" fillId="0" borderId="0" xfId="0" applyFont="1"/>
    <xf numFmtId="180" fontId="0" fillId="0" borderId="0" xfId="0" applyNumberFormat="1"/>
    <xf numFmtId="0" fontId="19" fillId="0" borderId="37" xfId="0" applyFont="1" applyBorder="1"/>
    <xf numFmtId="0" fontId="28" fillId="0" borderId="0" xfId="0" applyFont="1" applyAlignment="1">
      <alignment horizontal="center"/>
    </xf>
    <xf numFmtId="174" fontId="0" fillId="0" borderId="0" xfId="1" applyNumberFormat="1" applyFont="1" applyFill="1" applyProtection="1"/>
    <xf numFmtId="0" fontId="0" fillId="0" borderId="13" xfId="0" applyBorder="1"/>
    <xf numFmtId="0" fontId="21" fillId="0" borderId="13" xfId="0" applyFont="1" applyBorder="1"/>
    <xf numFmtId="0" fontId="25" fillId="0" borderId="0" xfId="0" applyFont="1" applyAlignment="1">
      <alignment horizontal="right" vertical="center"/>
    </xf>
    <xf numFmtId="0" fontId="8" fillId="0" borderId="0" xfId="0" quotePrefix="1" applyFont="1" applyAlignment="1">
      <alignment horizontal="right"/>
    </xf>
    <xf numFmtId="0" fontId="0" fillId="0" borderId="31" xfId="0" applyBorder="1"/>
    <xf numFmtId="0" fontId="0" fillId="0" borderId="32" xfId="0" applyBorder="1"/>
    <xf numFmtId="0" fontId="19" fillId="0" borderId="32" xfId="0" applyFont="1" applyBorder="1"/>
    <xf numFmtId="0" fontId="16" fillId="0" borderId="32" xfId="0" applyFont="1" applyBorder="1"/>
    <xf numFmtId="181" fontId="0" fillId="0" borderId="32" xfId="0" applyNumberFormat="1" applyBorder="1"/>
    <xf numFmtId="0" fontId="0" fillId="0" borderId="36" xfId="0" applyBorder="1"/>
    <xf numFmtId="0" fontId="16" fillId="0" borderId="37" xfId="0" applyFont="1" applyBorder="1"/>
    <xf numFmtId="168" fontId="0" fillId="0" borderId="37" xfId="0" applyNumberFormat="1" applyBorder="1" applyAlignment="1">
      <alignment horizontal="right"/>
    </xf>
    <xf numFmtId="180" fontId="0" fillId="0" borderId="37" xfId="0" applyNumberFormat="1" applyBorder="1" applyAlignment="1">
      <alignment horizontal="right"/>
    </xf>
    <xf numFmtId="0" fontId="13" fillId="0" borderId="0" xfId="0" applyFont="1"/>
    <xf numFmtId="0" fontId="46" fillId="0" borderId="0" xfId="0" applyFont="1"/>
    <xf numFmtId="37" fontId="0" fillId="0" borderId="0" xfId="1" applyNumberFormat="1" applyFont="1" applyBorder="1" applyProtection="1"/>
    <xf numFmtId="37" fontId="0" fillId="0" borderId="0" xfId="0" applyNumberFormat="1"/>
    <xf numFmtId="37" fontId="8" fillId="0" borderId="0" xfId="1" applyNumberFormat="1" applyFont="1" applyBorder="1" applyProtection="1"/>
    <xf numFmtId="0" fontId="28" fillId="0" borderId="0" xfId="0" applyFont="1"/>
    <xf numFmtId="0" fontId="8" fillId="0" borderId="13" xfId="0" quotePrefix="1" applyFont="1" applyBorder="1" applyAlignment="1">
      <alignment horizontal="left"/>
    </xf>
    <xf numFmtId="0" fontId="8" fillId="0" borderId="13" xfId="0" applyFont="1" applyBorder="1"/>
    <xf numFmtId="0" fontId="46" fillId="0" borderId="13" xfId="0" applyFont="1" applyBorder="1"/>
    <xf numFmtId="37" fontId="8" fillId="0" borderId="13" xfId="1" applyNumberFormat="1" applyFont="1" applyBorder="1" applyProtection="1"/>
    <xf numFmtId="179" fontId="0" fillId="0" borderId="0" xfId="1" applyNumberFormat="1" applyFont="1" applyBorder="1" applyProtection="1"/>
    <xf numFmtId="0" fontId="14" fillId="0" borderId="0" xfId="0" quotePrefix="1" applyFont="1"/>
    <xf numFmtId="166" fontId="28" fillId="0" borderId="0" xfId="0" applyNumberFormat="1" applyFont="1"/>
    <xf numFmtId="0" fontId="0" fillId="0" borderId="40" xfId="0" applyBorder="1"/>
    <xf numFmtId="0" fontId="0" fillId="0" borderId="41" xfId="0" applyBorder="1"/>
    <xf numFmtId="0" fontId="16" fillId="0" borderId="41" xfId="0" applyFont="1" applyBorder="1"/>
    <xf numFmtId="37" fontId="28" fillId="0" borderId="0" xfId="0" applyNumberFormat="1" applyFont="1"/>
    <xf numFmtId="181" fontId="0" fillId="0" borderId="0" xfId="0" applyNumberFormat="1"/>
    <xf numFmtId="183" fontId="8" fillId="0" borderId="0" xfId="0" quotePrefix="1" applyNumberFormat="1" applyFont="1" applyAlignment="1">
      <alignment horizontal="left"/>
    </xf>
    <xf numFmtId="183" fontId="8" fillId="0" borderId="0" xfId="0" applyNumberFormat="1" applyFont="1" applyAlignment="1">
      <alignment horizontal="left"/>
    </xf>
    <xf numFmtId="172" fontId="8" fillId="0" borderId="0" xfId="0" applyNumberFormat="1" applyFont="1"/>
    <xf numFmtId="43" fontId="0" fillId="0" borderId="0" xfId="1" applyFont="1" applyBorder="1" applyProtection="1"/>
    <xf numFmtId="0" fontId="8" fillId="0" borderId="6" xfId="0" applyFont="1" applyBorder="1"/>
    <xf numFmtId="0" fontId="0" fillId="0" borderId="7" xfId="0" applyBorder="1"/>
    <xf numFmtId="0" fontId="21" fillId="0" borderId="7" xfId="0" applyFont="1" applyBorder="1"/>
    <xf numFmtId="179" fontId="0" fillId="0" borderId="7" xfId="1" applyNumberFormat="1" applyFont="1" applyBorder="1" applyProtection="1"/>
    <xf numFmtId="179" fontId="0" fillId="0" borderId="9" xfId="1" applyNumberFormat="1" applyFont="1" applyBorder="1" applyProtection="1"/>
    <xf numFmtId="0" fontId="0" fillId="0" borderId="12" xfId="0" applyBorder="1"/>
    <xf numFmtId="167" fontId="14" fillId="0" borderId="0" xfId="0" applyNumberFormat="1" applyFont="1"/>
    <xf numFmtId="167" fontId="14" fillId="0" borderId="14" xfId="0" applyNumberFormat="1" applyFont="1" applyBorder="1"/>
    <xf numFmtId="9" fontId="8" fillId="0" borderId="0" xfId="0" applyNumberFormat="1" applyFont="1"/>
    <xf numFmtId="0" fontId="21" fillId="0" borderId="0" xfId="0" quotePrefix="1" applyFont="1"/>
    <xf numFmtId="0" fontId="0" fillId="0" borderId="19" xfId="0" applyBorder="1"/>
    <xf numFmtId="0" fontId="21" fillId="0" borderId="13" xfId="0" quotePrefix="1" applyFont="1" applyBorder="1"/>
    <xf numFmtId="177" fontId="14" fillId="0" borderId="13" xfId="0" applyNumberFormat="1" applyFont="1" applyBorder="1"/>
    <xf numFmtId="167" fontId="14" fillId="0" borderId="13" xfId="0" applyNumberFormat="1" applyFont="1" applyBorder="1"/>
    <xf numFmtId="167" fontId="14" fillId="0" borderId="20" xfId="0" applyNumberFormat="1" applyFont="1" applyBorder="1"/>
    <xf numFmtId="0" fontId="47" fillId="0" borderId="7" xfId="0" quotePrefix="1" applyFont="1" applyBorder="1"/>
    <xf numFmtId="43" fontId="14" fillId="0" borderId="0" xfId="1" applyFont="1" applyBorder="1" applyProtection="1"/>
    <xf numFmtId="0" fontId="14" fillId="0" borderId="0" xfId="0" quotePrefix="1" applyFont="1" applyAlignment="1">
      <alignment horizontal="left"/>
    </xf>
    <xf numFmtId="0" fontId="0" fillId="0" borderId="0" xfId="0" applyAlignment="1">
      <alignment horizontal="right"/>
    </xf>
    <xf numFmtId="164" fontId="16" fillId="0" borderId="0" xfId="0" applyNumberFormat="1" applyFont="1" applyAlignment="1">
      <alignment horizontal="right"/>
    </xf>
    <xf numFmtId="0" fontId="8" fillId="0" borderId="0" xfId="0" applyFont="1" applyAlignment="1">
      <alignment horizontal="right"/>
    </xf>
    <xf numFmtId="37" fontId="0" fillId="0" borderId="0" xfId="1" applyNumberFormat="1" applyFont="1" applyProtection="1"/>
    <xf numFmtId="181" fontId="0" fillId="0" borderId="0" xfId="1" applyNumberFormat="1" applyFont="1" applyProtection="1"/>
    <xf numFmtId="37" fontId="0" fillId="0" borderId="0" xfId="1" applyNumberFormat="1" applyFont="1" applyFill="1" applyProtection="1"/>
    <xf numFmtId="37" fontId="28" fillId="0" borderId="0" xfId="1" applyNumberFormat="1" applyFont="1" applyBorder="1" applyProtection="1"/>
    <xf numFmtId="179" fontId="0" fillId="0" borderId="0" xfId="1" applyNumberFormat="1" applyFont="1" applyProtection="1"/>
    <xf numFmtId="179" fontId="0" fillId="0" borderId="0" xfId="1" applyNumberFormat="1" applyFont="1" applyFill="1" applyBorder="1" applyProtection="1"/>
    <xf numFmtId="37" fontId="28" fillId="0" borderId="0" xfId="1" applyNumberFormat="1" applyFont="1" applyFill="1" applyProtection="1"/>
    <xf numFmtId="166" fontId="8" fillId="0" borderId="0" xfId="1" applyNumberFormat="1" applyFont="1" applyProtection="1"/>
    <xf numFmtId="184" fontId="8" fillId="0" borderId="0" xfId="1" applyNumberFormat="1" applyFont="1" applyProtection="1"/>
    <xf numFmtId="166" fontId="48" fillId="0" borderId="0" xfId="1" applyNumberFormat="1" applyFont="1" applyProtection="1"/>
    <xf numFmtId="37" fontId="8" fillId="0" borderId="0" xfId="1" applyNumberFormat="1" applyFont="1" applyProtection="1"/>
    <xf numFmtId="185" fontId="8" fillId="0" borderId="0" xfId="1" applyNumberFormat="1" applyFont="1" applyProtection="1"/>
    <xf numFmtId="0" fontId="8" fillId="0" borderId="7" xfId="0" quotePrefix="1" applyFont="1" applyBorder="1" applyAlignment="1">
      <alignment horizontal="left"/>
    </xf>
    <xf numFmtId="37" fontId="8" fillId="0" borderId="7" xfId="1" applyNumberFormat="1" applyFont="1" applyBorder="1" applyProtection="1"/>
    <xf numFmtId="0" fontId="13" fillId="0" borderId="0" xfId="0" applyFont="1" applyAlignment="1">
      <alignment horizontal="centerContinuous"/>
    </xf>
    <xf numFmtId="0" fontId="14" fillId="0" borderId="0" xfId="0" applyFont="1" applyAlignment="1">
      <alignment horizontal="left"/>
    </xf>
    <xf numFmtId="0" fontId="16" fillId="0" borderId="0" xfId="0" applyFont="1" applyAlignment="1">
      <alignment horizontal="right"/>
    </xf>
    <xf numFmtId="37" fontId="28" fillId="0" borderId="0" xfId="1" applyNumberFormat="1" applyFont="1" applyFill="1" applyBorder="1" applyProtection="1"/>
    <xf numFmtId="185" fontId="0" fillId="0" borderId="0" xfId="1" applyNumberFormat="1" applyFont="1" applyProtection="1"/>
    <xf numFmtId="185" fontId="49" fillId="0" borderId="0" xfId="1" applyNumberFormat="1" applyFont="1" applyBorder="1" applyProtection="1"/>
    <xf numFmtId="37" fontId="0" fillId="0" borderId="0" xfId="1" applyNumberFormat="1" applyFont="1" applyFill="1" applyBorder="1" applyProtection="1"/>
    <xf numFmtId="178" fontId="0" fillId="0" borderId="0" xfId="1" applyNumberFormat="1" applyFont="1" applyBorder="1" applyProtection="1"/>
    <xf numFmtId="0" fontId="14" fillId="0" borderId="0" xfId="0" applyFont="1"/>
    <xf numFmtId="186" fontId="14" fillId="0" borderId="0" xfId="1" applyNumberFormat="1" applyFont="1" applyBorder="1" applyProtection="1"/>
    <xf numFmtId="186" fontId="14" fillId="0" borderId="0" xfId="1" applyNumberFormat="1" applyFont="1" applyProtection="1"/>
    <xf numFmtId="0" fontId="50" fillId="0" borderId="0" xfId="0" applyFont="1" applyAlignment="1">
      <alignment horizontal="centerContinuous"/>
    </xf>
    <xf numFmtId="0" fontId="51" fillId="0" borderId="0" xfId="0" applyFont="1" applyAlignment="1">
      <alignment horizontal="centerContinuous"/>
    </xf>
    <xf numFmtId="0" fontId="52" fillId="0" borderId="0" xfId="0" applyFont="1" applyAlignment="1">
      <alignment horizontal="centerContinuous"/>
    </xf>
    <xf numFmtId="0" fontId="5" fillId="0" borderId="0" xfId="0" applyFont="1" applyAlignment="1">
      <alignment horizontal="centerContinuous"/>
    </xf>
    <xf numFmtId="0" fontId="46" fillId="0" borderId="0" xfId="0" applyFont="1" applyAlignment="1">
      <alignment horizontal="centerContinuous"/>
    </xf>
    <xf numFmtId="0" fontId="8" fillId="0" borderId="13" xfId="0" applyFont="1" applyBorder="1" applyAlignment="1">
      <alignment horizontal="centerContinuous"/>
    </xf>
    <xf numFmtId="0" fontId="53" fillId="0" borderId="0" xfId="0" applyFont="1" applyAlignment="1">
      <alignment horizontal="right"/>
    </xf>
    <xf numFmtId="0" fontId="16" fillId="0" borderId="0" xfId="0" quotePrefix="1" applyFont="1" applyAlignment="1">
      <alignment horizontal="right"/>
    </xf>
    <xf numFmtId="0" fontId="8" fillId="0" borderId="7" xfId="0" quotePrefix="1" applyFont="1" applyBorder="1" applyAlignment="1">
      <alignment horizontal="right"/>
    </xf>
    <xf numFmtId="0" fontId="54" fillId="0" borderId="0" xfId="0" applyFont="1"/>
    <xf numFmtId="0" fontId="54" fillId="0" borderId="6" xfId="0" applyFont="1" applyBorder="1" applyAlignment="1">
      <alignment horizontal="left" vertical="center"/>
    </xf>
    <xf numFmtId="176" fontId="44" fillId="0" borderId="9" xfId="0" applyNumberFormat="1" applyFont="1" applyBorder="1" applyAlignment="1">
      <alignment vertical="center"/>
    </xf>
    <xf numFmtId="187" fontId="55" fillId="0" borderId="0" xfId="0" applyNumberFormat="1" applyFont="1"/>
    <xf numFmtId="37" fontId="54" fillId="0" borderId="0" xfId="0" applyNumberFormat="1" applyFont="1"/>
    <xf numFmtId="0" fontId="56" fillId="0" borderId="0" xfId="0" applyFont="1"/>
    <xf numFmtId="0" fontId="54" fillId="0" borderId="19" xfId="0" applyFont="1" applyBorder="1" applyAlignment="1">
      <alignment horizontal="left" vertical="center"/>
    </xf>
    <xf numFmtId="0" fontId="54" fillId="0" borderId="13" xfId="0" quotePrefix="1" applyFont="1" applyBorder="1" applyAlignment="1">
      <alignment horizontal="left" vertical="center"/>
    </xf>
    <xf numFmtId="0" fontId="54" fillId="0" borderId="13" xfId="0" applyFont="1" applyBorder="1" applyAlignment="1">
      <alignment vertical="center"/>
    </xf>
    <xf numFmtId="176" fontId="44" fillId="0" borderId="20" xfId="0" applyNumberFormat="1" applyFont="1" applyBorder="1" applyAlignment="1">
      <alignment vertical="center"/>
    </xf>
    <xf numFmtId="188" fontId="0" fillId="0" borderId="0" xfId="0" applyNumberFormat="1"/>
    <xf numFmtId="172" fontId="28" fillId="0" borderId="0" xfId="0" applyNumberFormat="1" applyFont="1"/>
    <xf numFmtId="172" fontId="0" fillId="0" borderId="0" xfId="0" applyNumberFormat="1"/>
    <xf numFmtId="0" fontId="57" fillId="0" borderId="0" xfId="0" applyFont="1" applyAlignment="1">
      <alignment horizontal="right"/>
    </xf>
    <xf numFmtId="176" fontId="0" fillId="0" borderId="0" xfId="0" applyNumberFormat="1"/>
    <xf numFmtId="172" fontId="0" fillId="0" borderId="12" xfId="0" applyNumberFormat="1" applyBorder="1"/>
    <xf numFmtId="181" fontId="54" fillId="0" borderId="0" xfId="0" applyNumberFormat="1" applyFont="1"/>
    <xf numFmtId="0" fontId="38" fillId="0" borderId="0" xfId="0" applyFont="1" applyAlignment="1">
      <alignment vertical="center"/>
    </xf>
    <xf numFmtId="172" fontId="8" fillId="0" borderId="39" xfId="0" applyNumberFormat="1" applyFont="1" applyBorder="1" applyAlignment="1">
      <alignment vertical="center"/>
    </xf>
    <xf numFmtId="37" fontId="0" fillId="0" borderId="13" xfId="1" applyNumberFormat="1" applyFont="1" applyBorder="1" applyProtection="1"/>
    <xf numFmtId="0" fontId="57" fillId="0" borderId="0" xfId="0" applyFont="1"/>
    <xf numFmtId="0" fontId="8" fillId="0" borderId="29" xfId="0" applyFont="1" applyBorder="1"/>
    <xf numFmtId="0" fontId="0" fillId="0" borderId="8" xfId="0" applyBorder="1"/>
    <xf numFmtId="168" fontId="58" fillId="0" borderId="30" xfId="0" applyNumberFormat="1" applyFont="1" applyBorder="1"/>
    <xf numFmtId="168" fontId="58" fillId="0" borderId="0" xfId="0" applyNumberFormat="1" applyFont="1"/>
    <xf numFmtId="37" fontId="59" fillId="0" borderId="0" xfId="0" applyNumberFormat="1" applyFont="1"/>
    <xf numFmtId="37" fontId="38" fillId="0" borderId="0" xfId="0" applyNumberFormat="1" applyFont="1"/>
    <xf numFmtId="168" fontId="61" fillId="0" borderId="0" xfId="0" applyNumberFormat="1" applyFont="1"/>
    <xf numFmtId="37" fontId="36" fillId="0" borderId="7" xfId="0" applyNumberFormat="1" applyFont="1" applyBorder="1"/>
    <xf numFmtId="37" fontId="28" fillId="0" borderId="7" xfId="0" applyNumberFormat="1" applyFont="1" applyBorder="1"/>
    <xf numFmtId="0" fontId="0" fillId="0" borderId="12" xfId="0" applyBorder="1" applyAlignment="1">
      <alignment horizontal="left"/>
    </xf>
    <xf numFmtId="37" fontId="33" fillId="0" borderId="0" xfId="0" applyNumberFormat="1" applyFont="1"/>
    <xf numFmtId="0" fontId="8" fillId="0" borderId="19" xfId="0" applyFont="1" applyBorder="1"/>
    <xf numFmtId="37" fontId="52" fillId="0" borderId="13" xfId="0" applyNumberFormat="1" applyFont="1" applyBorder="1"/>
    <xf numFmtId="37" fontId="33" fillId="0" borderId="13" xfId="0" applyNumberFormat="1" applyFont="1" applyBorder="1"/>
    <xf numFmtId="37" fontId="38" fillId="0" borderId="13" xfId="0" applyNumberFormat="1" applyFont="1" applyBorder="1"/>
    <xf numFmtId="0" fontId="20" fillId="0" borderId="0" xfId="0" applyFont="1"/>
    <xf numFmtId="37" fontId="36" fillId="0" borderId="13" xfId="0" applyNumberFormat="1" applyFont="1" applyBorder="1"/>
    <xf numFmtId="37" fontId="28" fillId="0" borderId="13" xfId="0" applyNumberFormat="1" applyFont="1" applyBorder="1"/>
    <xf numFmtId="0" fontId="19" fillId="0" borderId="41" xfId="0" applyFont="1" applyBorder="1"/>
    <xf numFmtId="176" fontId="0" fillId="0" borderId="41" xfId="0" applyNumberFormat="1" applyBorder="1"/>
    <xf numFmtId="176" fontId="0" fillId="0" borderId="42" xfId="0" applyNumberFormat="1" applyBorder="1"/>
    <xf numFmtId="174" fontId="0" fillId="0" borderId="0" xfId="1" applyNumberFormat="1" applyFont="1" applyProtection="1"/>
    <xf numFmtId="4" fontId="8" fillId="0" borderId="0" xfId="0" applyNumberFormat="1" applyFont="1"/>
    <xf numFmtId="4" fontId="0" fillId="0" borderId="0" xfId="1" applyNumberFormat="1" applyFont="1" applyFill="1" applyBorder="1" applyProtection="1"/>
    <xf numFmtId="4" fontId="0" fillId="0" borderId="0" xfId="0" applyNumberFormat="1"/>
    <xf numFmtId="43" fontId="54" fillId="0" borderId="0" xfId="1" applyFont="1" applyProtection="1"/>
    <xf numFmtId="176" fontId="28" fillId="0" borderId="0" xfId="1" applyNumberFormat="1" applyFont="1" applyProtection="1"/>
    <xf numFmtId="174" fontId="44" fillId="0" borderId="0" xfId="1" applyNumberFormat="1" applyFont="1" applyProtection="1"/>
    <xf numFmtId="4" fontId="0" fillId="0" borderId="0" xfId="1" applyNumberFormat="1" applyFont="1" applyFill="1" applyBorder="1" applyAlignment="1" applyProtection="1">
      <alignment horizontal="left"/>
    </xf>
    <xf numFmtId="43" fontId="54" fillId="0" borderId="0" xfId="1" applyFont="1" applyFill="1" applyProtection="1"/>
    <xf numFmtId="176" fontId="28" fillId="0" borderId="0" xfId="1" applyNumberFormat="1" applyFont="1" applyFill="1" applyProtection="1"/>
    <xf numFmtId="4" fontId="8" fillId="0" borderId="0" xfId="1" applyNumberFormat="1" applyFont="1" applyFill="1" applyBorder="1" applyProtection="1"/>
    <xf numFmtId="178" fontId="0" fillId="0" borderId="13" xfId="1" applyNumberFormat="1" applyFont="1" applyBorder="1" applyProtection="1"/>
    <xf numFmtId="164" fontId="16" fillId="0" borderId="0" xfId="0" quotePrefix="1" applyNumberFormat="1" applyFont="1" applyAlignment="1">
      <alignment horizontal="right"/>
    </xf>
    <xf numFmtId="189" fontId="0" fillId="0" borderId="0" xfId="0" applyNumberFormat="1"/>
    <xf numFmtId="166" fontId="0" fillId="0" borderId="0" xfId="0" applyNumberFormat="1"/>
    <xf numFmtId="180" fontId="44" fillId="0" borderId="13" xfId="0" applyNumberFormat="1" applyFont="1" applyBorder="1"/>
    <xf numFmtId="180" fontId="0" fillId="0" borderId="13" xfId="0" applyNumberFormat="1" applyBorder="1"/>
    <xf numFmtId="166" fontId="8" fillId="0" borderId="0" xfId="0" applyNumberFormat="1" applyFont="1"/>
    <xf numFmtId="180" fontId="44" fillId="0" borderId="0" xfId="0" applyNumberFormat="1" applyFont="1"/>
    <xf numFmtId="182" fontId="0" fillId="0" borderId="0" xfId="0" applyNumberFormat="1"/>
    <xf numFmtId="0" fontId="62" fillId="0" borderId="0" xfId="0" applyFont="1"/>
    <xf numFmtId="0" fontId="63" fillId="0" borderId="0" xfId="0" applyFont="1"/>
    <xf numFmtId="15" fontId="0" fillId="0" borderId="0" xfId="0" applyNumberFormat="1"/>
    <xf numFmtId="10" fontId="0" fillId="0" borderId="0" xfId="0" applyNumberFormat="1" applyProtection="1">
      <protection locked="0"/>
    </xf>
    <xf numFmtId="0" fontId="64" fillId="0" borderId="0" xfId="0" applyFont="1" applyAlignment="1" applyProtection="1">
      <alignment vertical="center"/>
      <protection locked="0"/>
    </xf>
    <xf numFmtId="0" fontId="64" fillId="0" borderId="0" xfId="0" applyFont="1" applyProtection="1">
      <protection locked="0"/>
    </xf>
    <xf numFmtId="190" fontId="2" fillId="0" borderId="0" xfId="3" applyNumberFormat="1" applyFont="1"/>
    <xf numFmtId="37" fontId="2" fillId="0" borderId="0" xfId="3" applyNumberFormat="1" applyFont="1"/>
    <xf numFmtId="191" fontId="28" fillId="0" borderId="0" xfId="1" applyNumberFormat="1" applyFont="1" applyBorder="1" applyProtection="1"/>
    <xf numFmtId="191" fontId="0" fillId="0" borderId="0" xfId="1" applyNumberFormat="1" applyFont="1" applyBorder="1" applyAlignment="1" applyProtection="1">
      <alignment horizontal="right"/>
    </xf>
    <xf numFmtId="191" fontId="28" fillId="0" borderId="13" xfId="1" applyNumberFormat="1" applyFont="1" applyBorder="1" applyProtection="1"/>
    <xf numFmtId="191" fontId="0" fillId="0" borderId="13" xfId="1" applyNumberFormat="1" applyFont="1" applyBorder="1" applyAlignment="1" applyProtection="1">
      <alignment horizontal="right"/>
    </xf>
    <xf numFmtId="191" fontId="8" fillId="0" borderId="0" xfId="1" applyNumberFormat="1" applyFont="1" applyBorder="1" applyAlignment="1" applyProtection="1">
      <alignment horizontal="right"/>
    </xf>
    <xf numFmtId="191" fontId="16" fillId="0" borderId="0" xfId="0" applyNumberFormat="1" applyFont="1"/>
    <xf numFmtId="191" fontId="28" fillId="0" borderId="0" xfId="0" applyNumberFormat="1" applyFont="1"/>
    <xf numFmtId="191" fontId="0" fillId="0" borderId="0" xfId="0" applyNumberFormat="1"/>
    <xf numFmtId="191" fontId="28" fillId="0" borderId="13" xfId="1" applyNumberFormat="1" applyFont="1" applyFill="1" applyBorder="1" applyAlignment="1" applyProtection="1">
      <alignment horizontal="right"/>
    </xf>
    <xf numFmtId="191" fontId="44" fillId="0" borderId="13" xfId="1" applyNumberFormat="1" applyFont="1" applyFill="1" applyBorder="1" applyAlignment="1" applyProtection="1">
      <alignment horizontal="right"/>
    </xf>
    <xf numFmtId="191" fontId="8" fillId="0" borderId="0" xfId="1" applyNumberFormat="1" applyFont="1" applyFill="1" applyBorder="1" applyProtection="1"/>
    <xf numFmtId="191" fontId="0" fillId="0" borderId="0" xfId="1" applyNumberFormat="1" applyFont="1" applyBorder="1" applyProtection="1"/>
    <xf numFmtId="191" fontId="28" fillId="0" borderId="13" xfId="1" applyNumberFormat="1" applyFont="1" applyFill="1" applyBorder="1" applyProtection="1">
      <protection locked="0"/>
    </xf>
    <xf numFmtId="191" fontId="0" fillId="0" borderId="13" xfId="1" applyNumberFormat="1" applyFont="1" applyBorder="1" applyProtection="1"/>
    <xf numFmtId="191" fontId="8" fillId="0" borderId="0" xfId="1" applyNumberFormat="1" applyFont="1" applyBorder="1" applyProtection="1"/>
    <xf numFmtId="191" fontId="28" fillId="0" borderId="13" xfId="1" applyNumberFormat="1" applyFont="1" applyFill="1" applyBorder="1" applyProtection="1"/>
    <xf numFmtId="191" fontId="0" fillId="0" borderId="13" xfId="1" applyNumberFormat="1" applyFont="1" applyFill="1" applyBorder="1" applyProtection="1"/>
    <xf numFmtId="191" fontId="28" fillId="0" borderId="0" xfId="1" applyNumberFormat="1" applyFont="1" applyBorder="1" applyAlignment="1" applyProtection="1">
      <alignment horizontal="right"/>
    </xf>
    <xf numFmtId="191" fontId="44" fillId="0" borderId="0" xfId="1" applyNumberFormat="1" applyFont="1" applyBorder="1" applyAlignment="1" applyProtection="1">
      <alignment horizontal="right"/>
    </xf>
    <xf numFmtId="191" fontId="28" fillId="0" borderId="0" xfId="1" applyNumberFormat="1" applyFont="1" applyFill="1" applyBorder="1" applyProtection="1"/>
    <xf numFmtId="183" fontId="2" fillId="0" borderId="0" xfId="0" applyNumberFormat="1" applyFont="1" applyAlignment="1">
      <alignment horizontal="left"/>
    </xf>
    <xf numFmtId="191" fontId="8" fillId="0" borderId="7" xfId="1" applyNumberFormat="1" applyFont="1" applyBorder="1" applyAlignment="1" applyProtection="1">
      <alignment horizontal="right"/>
    </xf>
    <xf numFmtId="0" fontId="66" fillId="0" borderId="0" xfId="0" applyFont="1"/>
    <xf numFmtId="191" fontId="43" fillId="0" borderId="0" xfId="1" applyNumberFormat="1" applyFont="1" applyFill="1" applyProtection="1">
      <protection locked="0"/>
    </xf>
    <xf numFmtId="191" fontId="0" fillId="0" borderId="0" xfId="1" applyNumberFormat="1" applyFont="1" applyProtection="1"/>
    <xf numFmtId="191" fontId="0" fillId="0" borderId="0" xfId="1" applyNumberFormat="1" applyFont="1" applyFill="1" applyProtection="1"/>
    <xf numFmtId="191" fontId="43" fillId="0" borderId="13" xfId="1" applyNumberFormat="1" applyFont="1" applyFill="1" applyBorder="1" applyAlignment="1" applyProtection="1">
      <alignment horizontal="right"/>
      <protection locked="0"/>
    </xf>
    <xf numFmtId="191" fontId="8" fillId="0" borderId="0" xfId="1" applyNumberFormat="1" applyFont="1" applyProtection="1"/>
    <xf numFmtId="191" fontId="28" fillId="0" borderId="0" xfId="1" applyNumberFormat="1" applyFont="1" applyFill="1" applyProtection="1">
      <protection locked="0"/>
    </xf>
    <xf numFmtId="191" fontId="44" fillId="0" borderId="0" xfId="1" applyNumberFormat="1" applyFont="1" applyBorder="1" applyProtection="1"/>
    <xf numFmtId="191" fontId="8" fillId="0" borderId="7" xfId="1" applyNumberFormat="1" applyFont="1" applyBorder="1" applyProtection="1"/>
    <xf numFmtId="191" fontId="28" fillId="0" borderId="0" xfId="1" applyNumberFormat="1" applyFont="1" applyFill="1" applyBorder="1" applyProtection="1">
      <protection locked="0"/>
    </xf>
    <xf numFmtId="0" fontId="0" fillId="0" borderId="13" xfId="0" applyBorder="1" applyAlignment="1">
      <alignment horizontal="left"/>
    </xf>
    <xf numFmtId="191" fontId="0" fillId="0" borderId="7" xfId="1" applyNumberFormat="1" applyFont="1" applyBorder="1" applyProtection="1"/>
    <xf numFmtId="191" fontId="66" fillId="0" borderId="7" xfId="1" applyNumberFormat="1" applyFont="1" applyBorder="1" applyProtection="1"/>
    <xf numFmtId="191" fontId="0" fillId="0" borderId="7" xfId="1" applyNumberFormat="1" applyFont="1" applyFill="1" applyBorder="1" applyProtection="1">
      <protection locked="0"/>
    </xf>
    <xf numFmtId="191" fontId="8" fillId="0" borderId="39" xfId="1" applyNumberFormat="1" applyFont="1" applyBorder="1" applyProtection="1"/>
    <xf numFmtId="0" fontId="65" fillId="0" borderId="0" xfId="0" applyFont="1"/>
    <xf numFmtId="9" fontId="66" fillId="0" borderId="0" xfId="0" applyNumberFormat="1" applyFont="1"/>
    <xf numFmtId="0" fontId="0" fillId="0" borderId="25" xfId="0" applyBorder="1" applyAlignment="1" applyProtection="1">
      <alignment horizontal="left" indent="1"/>
      <protection locked="0"/>
    </xf>
    <xf numFmtId="0" fontId="0" fillId="0" borderId="27" xfId="0" applyBorder="1" applyAlignment="1" applyProtection="1">
      <alignment horizontal="left" indent="1"/>
      <protection locked="0"/>
    </xf>
    <xf numFmtId="168" fontId="66" fillId="0" borderId="26" xfId="4" applyNumberFormat="1" applyFont="1" applyBorder="1" applyProtection="1">
      <protection locked="0"/>
    </xf>
    <xf numFmtId="168" fontId="66" fillId="0" borderId="28" xfId="4" applyNumberFormat="1" applyFont="1" applyBorder="1" applyProtection="1">
      <protection locked="0"/>
    </xf>
    <xf numFmtId="9" fontId="8" fillId="0" borderId="0" xfId="4" applyFont="1"/>
    <xf numFmtId="9" fontId="44" fillId="0" borderId="0" xfId="0" applyNumberFormat="1" applyFont="1"/>
    <xf numFmtId="180" fontId="0" fillId="0" borderId="32" xfId="4" applyNumberFormat="1" applyFont="1" applyBorder="1"/>
    <xf numFmtId="191" fontId="0" fillId="0" borderId="13" xfId="0" applyNumberFormat="1" applyBorder="1"/>
    <xf numFmtId="191" fontId="8" fillId="0" borderId="0" xfId="0" applyNumberFormat="1" applyFont="1"/>
    <xf numFmtId="191" fontId="8" fillId="0" borderId="8" xfId="0" applyNumberFormat="1" applyFont="1" applyBorder="1"/>
    <xf numFmtId="191" fontId="44" fillId="0" borderId="13" xfId="0" applyNumberFormat="1" applyFont="1" applyBorder="1"/>
    <xf numFmtId="191" fontId="65" fillId="0" borderId="7" xfId="1" applyNumberFormat="1" applyFont="1" applyBorder="1" applyProtection="1"/>
    <xf numFmtId="166" fontId="28" fillId="0" borderId="0" xfId="0" applyNumberFormat="1" applyFont="1" applyProtection="1">
      <protection locked="0"/>
    </xf>
    <xf numFmtId="166" fontId="28" fillId="0" borderId="26" xfId="0" applyNumberFormat="1" applyFont="1" applyBorder="1" applyProtection="1">
      <protection locked="0"/>
    </xf>
    <xf numFmtId="9" fontId="66" fillId="0" borderId="0" xfId="0" applyNumberFormat="1" applyFont="1" applyProtection="1">
      <protection locked="0"/>
    </xf>
    <xf numFmtId="166" fontId="44" fillId="0" borderId="0" xfId="0" applyNumberFormat="1" applyFont="1"/>
    <xf numFmtId="191" fontId="0" fillId="0" borderId="37" xfId="0" applyNumberFormat="1" applyBorder="1" applyAlignment="1">
      <alignment horizontal="right"/>
    </xf>
    <xf numFmtId="0" fontId="0" fillId="0" borderId="34" xfId="0" applyBorder="1"/>
    <xf numFmtId="166" fontId="2" fillId="0" borderId="0" xfId="0" applyNumberFormat="1" applyFont="1"/>
    <xf numFmtId="191" fontId="67" fillId="0" borderId="0" xfId="1" applyNumberFormat="1" applyFont="1" applyFill="1" applyBorder="1" applyProtection="1"/>
    <xf numFmtId="191" fontId="67" fillId="0" borderId="0" xfId="1" applyNumberFormat="1" applyFont="1" applyBorder="1" applyAlignment="1" applyProtection="1">
      <alignment horizontal="right"/>
    </xf>
    <xf numFmtId="168" fontId="66" fillId="0" borderId="0" xfId="0" applyNumberFormat="1" applyFont="1"/>
    <xf numFmtId="191" fontId="67" fillId="0" borderId="0" xfId="1" applyNumberFormat="1" applyFont="1" applyProtection="1"/>
    <xf numFmtId="0" fontId="0" fillId="0" borderId="0" xfId="0" applyAlignment="1" applyProtection="1">
      <alignment horizontal="left" indent="1"/>
      <protection locked="0"/>
    </xf>
    <xf numFmtId="168" fontId="0" fillId="0" borderId="0" xfId="4" applyNumberFormat="1" applyFont="1" applyFill="1" applyBorder="1" applyAlignment="1" applyProtection="1">
      <alignment horizontal="right"/>
    </xf>
    <xf numFmtId="0" fontId="68" fillId="0" borderId="0" xfId="0" applyFont="1"/>
    <xf numFmtId="192" fontId="0" fillId="0" borderId="0" xfId="0" applyNumberFormat="1"/>
    <xf numFmtId="191" fontId="8" fillId="0" borderId="0" xfId="1" applyNumberFormat="1" applyFont="1" applyFill="1" applyProtection="1"/>
    <xf numFmtId="179" fontId="0" fillId="0" borderId="0" xfId="1" applyNumberFormat="1" applyFont="1" applyFill="1" applyProtection="1"/>
    <xf numFmtId="191" fontId="44" fillId="0" borderId="0" xfId="1" applyNumberFormat="1" applyFont="1" applyFill="1" applyBorder="1" applyProtection="1"/>
    <xf numFmtId="191" fontId="8" fillId="0" borderId="7" xfId="1" applyNumberFormat="1" applyFont="1" applyFill="1" applyBorder="1" applyProtection="1"/>
    <xf numFmtId="166" fontId="48" fillId="0" borderId="0" xfId="1" applyNumberFormat="1" applyFont="1" applyFill="1" applyProtection="1"/>
    <xf numFmtId="185" fontId="8" fillId="0" borderId="0" xfId="1" applyNumberFormat="1" applyFont="1" applyFill="1" applyProtection="1"/>
    <xf numFmtId="191" fontId="67" fillId="0" borderId="0" xfId="1" applyNumberFormat="1" applyFont="1" applyFill="1" applyProtection="1"/>
    <xf numFmtId="191" fontId="0" fillId="0" borderId="7" xfId="1" applyNumberFormat="1" applyFont="1" applyFill="1" applyBorder="1" applyProtection="1"/>
    <xf numFmtId="185" fontId="0" fillId="0" borderId="0" xfId="1" applyNumberFormat="1" applyFont="1" applyFill="1" applyProtection="1"/>
    <xf numFmtId="191" fontId="8" fillId="0" borderId="39" xfId="1" applyNumberFormat="1" applyFont="1" applyFill="1" applyBorder="1" applyProtection="1"/>
    <xf numFmtId="186" fontId="14" fillId="0" borderId="0" xfId="1" applyNumberFormat="1" applyFont="1" applyFill="1" applyProtection="1"/>
    <xf numFmtId="15" fontId="66" fillId="0" borderId="0" xfId="0" applyNumberFormat="1" applyFont="1" applyAlignment="1" applyProtection="1">
      <alignment horizontal="left"/>
      <protection locked="0"/>
    </xf>
    <xf numFmtId="1" fontId="0" fillId="0" borderId="0" xfId="0" applyNumberFormat="1"/>
    <xf numFmtId="181" fontId="67" fillId="0" borderId="0" xfId="0" applyNumberFormat="1" applyFont="1"/>
    <xf numFmtId="181" fontId="66" fillId="0" borderId="0" xfId="0" applyNumberFormat="1" applyFont="1"/>
    <xf numFmtId="191" fontId="66" fillId="0" borderId="0" xfId="1" applyNumberFormat="1" applyFont="1" applyProtection="1"/>
    <xf numFmtId="168" fontId="0" fillId="0" borderId="0" xfId="4" applyNumberFormat="1" applyFont="1"/>
    <xf numFmtId="0" fontId="2" fillId="0" borderId="0" xfId="0" applyFont="1"/>
    <xf numFmtId="166" fontId="0" fillId="0" borderId="7" xfId="0" applyNumberFormat="1" applyBorder="1"/>
    <xf numFmtId="168" fontId="21" fillId="0" borderId="31" xfId="0" applyNumberFormat="1" applyFont="1" applyBorder="1"/>
    <xf numFmtId="168" fontId="21" fillId="0" borderId="32" xfId="0" applyNumberFormat="1" applyFont="1" applyBorder="1"/>
    <xf numFmtId="168" fontId="21" fillId="0" borderId="33" xfId="0" applyNumberFormat="1" applyFont="1" applyBorder="1"/>
    <xf numFmtId="9" fontId="44" fillId="0" borderId="37" xfId="4" applyFont="1" applyFill="1" applyBorder="1" applyProtection="1"/>
    <xf numFmtId="9" fontId="44" fillId="0" borderId="0" xfId="4" applyFont="1" applyFill="1" applyProtection="1"/>
    <xf numFmtId="9" fontId="0" fillId="0" borderId="0" xfId="0" applyNumberFormat="1" applyProtection="1">
      <protection locked="0"/>
    </xf>
    <xf numFmtId="9" fontId="66" fillId="0" borderId="21" xfId="0" applyNumberFormat="1" applyFont="1" applyBorder="1" applyProtection="1">
      <protection locked="0"/>
    </xf>
    <xf numFmtId="0" fontId="5" fillId="0" borderId="13" xfId="2" applyFont="1" applyBorder="1" applyAlignment="1" applyProtection="1">
      <alignment horizontal="centerContinuous"/>
      <protection locked="0"/>
    </xf>
    <xf numFmtId="182" fontId="66" fillId="0" borderId="0" xfId="0" applyNumberFormat="1" applyFont="1"/>
    <xf numFmtId="182" fontId="28" fillId="0" borderId="26" xfId="0" applyNumberFormat="1" applyFont="1" applyBorder="1" applyProtection="1">
      <protection locked="0"/>
    </xf>
    <xf numFmtId="182" fontId="67" fillId="0" borderId="0" xfId="0" applyNumberFormat="1" applyFont="1"/>
    <xf numFmtId="181" fontId="0" fillId="0" borderId="13" xfId="0" applyNumberFormat="1" applyBorder="1"/>
    <xf numFmtId="0" fontId="2" fillId="0" borderId="26" xfId="0" applyFont="1" applyBorder="1" applyAlignment="1" applyProtection="1">
      <alignment horizontal="right"/>
      <protection locked="0"/>
    </xf>
    <xf numFmtId="176" fontId="28" fillId="0" borderId="0" xfId="0" applyNumberFormat="1" applyFont="1" applyProtection="1">
      <protection locked="0"/>
    </xf>
    <xf numFmtId="176" fontId="28" fillId="0" borderId="26" xfId="0" applyNumberFormat="1" applyFont="1" applyBorder="1" applyProtection="1">
      <protection locked="0"/>
    </xf>
    <xf numFmtId="0" fontId="15" fillId="2" borderId="22" xfId="0" applyFont="1" applyFill="1" applyBorder="1" applyAlignment="1" applyProtection="1">
      <alignment vertical="center"/>
      <protection locked="0"/>
    </xf>
    <xf numFmtId="0" fontId="0" fillId="2" borderId="23" xfId="0" applyFill="1" applyBorder="1" applyProtection="1">
      <protection locked="0"/>
    </xf>
    <xf numFmtId="0" fontId="0" fillId="2" borderId="24" xfId="0" applyFill="1" applyBorder="1" applyProtection="1">
      <protection locked="0"/>
    </xf>
    <xf numFmtId="0" fontId="8" fillId="3" borderId="25" xfId="0" applyFont="1" applyFill="1" applyBorder="1" applyAlignment="1" applyProtection="1">
      <alignment vertical="center"/>
      <protection locked="0"/>
    </xf>
    <xf numFmtId="0" fontId="0" fillId="3" borderId="0" xfId="0" applyFill="1" applyProtection="1">
      <protection locked="0"/>
    </xf>
    <xf numFmtId="0" fontId="0" fillId="3" borderId="26" xfId="0" applyFill="1" applyBorder="1" applyProtection="1">
      <protection locked="0"/>
    </xf>
    <xf numFmtId="0" fontId="8" fillId="4" borderId="25" xfId="0" applyFont="1" applyFill="1" applyBorder="1" applyAlignment="1" applyProtection="1">
      <alignment vertical="center"/>
      <protection locked="0"/>
    </xf>
    <xf numFmtId="0" fontId="0" fillId="4" borderId="0" xfId="0" applyFill="1" applyProtection="1">
      <protection locked="0"/>
    </xf>
    <xf numFmtId="0" fontId="0" fillId="4" borderId="26" xfId="0" applyFill="1" applyBorder="1" applyProtection="1">
      <protection locked="0"/>
    </xf>
    <xf numFmtId="0" fontId="2" fillId="2" borderId="2" xfId="2" applyFill="1" applyBorder="1" applyAlignment="1">
      <alignment vertical="center"/>
    </xf>
    <xf numFmtId="0" fontId="2" fillId="2" borderId="3" xfId="2" applyFill="1" applyBorder="1" applyAlignment="1">
      <alignment vertical="center"/>
    </xf>
    <xf numFmtId="0" fontId="10" fillId="2" borderId="3" xfId="2" applyFont="1" applyFill="1" applyBorder="1" applyAlignment="1">
      <alignment vertical="center"/>
    </xf>
    <xf numFmtId="0" fontId="11" fillId="2" borderId="3" xfId="2" applyFont="1" applyFill="1" applyBorder="1" applyAlignment="1">
      <alignment horizontal="centerContinuous" vertical="center"/>
    </xf>
    <xf numFmtId="0" fontId="11" fillId="2" borderId="4" xfId="2" applyFont="1" applyFill="1" applyBorder="1" applyAlignment="1">
      <alignment horizontal="centerContinuous" vertical="center"/>
    </xf>
    <xf numFmtId="0" fontId="12" fillId="2" borderId="4" xfId="2" applyFont="1" applyFill="1" applyBorder="1" applyAlignment="1">
      <alignment horizontal="centerContinuous" vertical="center"/>
    </xf>
    <xf numFmtId="0" fontId="10" fillId="2" borderId="5" xfId="2" applyFont="1" applyFill="1" applyBorder="1" applyAlignment="1">
      <alignment vertical="center"/>
    </xf>
    <xf numFmtId="0" fontId="2" fillId="2" borderId="10" xfId="2" applyFill="1" applyBorder="1" applyAlignment="1">
      <alignment vertical="center"/>
    </xf>
    <xf numFmtId="0" fontId="15" fillId="2" borderId="0" xfId="2" applyFont="1" applyFill="1" applyAlignment="1">
      <alignment vertical="center"/>
    </xf>
    <xf numFmtId="0" fontId="2" fillId="2" borderId="0" xfId="2" applyFill="1" applyAlignment="1">
      <alignment vertical="center"/>
    </xf>
    <xf numFmtId="164" fontId="15" fillId="2" borderId="0" xfId="0" applyNumberFormat="1" applyFont="1" applyFill="1" applyAlignment="1">
      <alignment vertical="center"/>
    </xf>
    <xf numFmtId="0" fontId="15" fillId="2" borderId="0" xfId="0" applyFont="1" applyFill="1" applyAlignment="1">
      <alignment vertical="center"/>
    </xf>
    <xf numFmtId="0" fontId="10" fillId="2" borderId="11" xfId="2" applyFont="1" applyFill="1" applyBorder="1" applyAlignment="1">
      <alignment vertical="center"/>
    </xf>
    <xf numFmtId="0" fontId="2" fillId="4" borderId="10" xfId="2" applyFill="1" applyBorder="1"/>
    <xf numFmtId="0" fontId="2" fillId="4" borderId="0" xfId="2" applyFill="1"/>
    <xf numFmtId="164" fontId="16" fillId="4" borderId="0" xfId="0" applyNumberFormat="1" applyFont="1" applyFill="1"/>
    <xf numFmtId="165" fontId="16" fillId="4" borderId="0" xfId="0" quotePrefix="1" applyNumberFormat="1" applyFont="1" applyFill="1" applyAlignment="1">
      <alignment horizontal="right"/>
    </xf>
    <xf numFmtId="0" fontId="16" fillId="4" borderId="0" xfId="0" applyFont="1" applyFill="1"/>
    <xf numFmtId="0" fontId="16" fillId="4" borderId="11" xfId="0" applyFont="1" applyFill="1" applyBorder="1"/>
    <xf numFmtId="0" fontId="2" fillId="3" borderId="10" xfId="2" applyFill="1" applyBorder="1"/>
    <xf numFmtId="0" fontId="2" fillId="3" borderId="0" xfId="2" applyFill="1"/>
    <xf numFmtId="164" fontId="16" fillId="3" borderId="0" xfId="0" applyNumberFormat="1" applyFont="1" applyFill="1"/>
    <xf numFmtId="165" fontId="16" fillId="3" borderId="0" xfId="0" quotePrefix="1" applyNumberFormat="1" applyFont="1" applyFill="1" applyAlignment="1">
      <alignment horizontal="right"/>
    </xf>
    <xf numFmtId="0" fontId="16" fillId="3" borderId="0" xfId="0" applyFont="1" applyFill="1"/>
    <xf numFmtId="0" fontId="16" fillId="3" borderId="11" xfId="0" applyFont="1" applyFill="1" applyBorder="1"/>
    <xf numFmtId="0" fontId="0" fillId="2" borderId="23" xfId="0" applyFill="1" applyBorder="1" applyAlignment="1" applyProtection="1">
      <alignment vertical="center"/>
      <protection locked="0"/>
    </xf>
    <xf numFmtId="0" fontId="15" fillId="2" borderId="23" xfId="0" applyFont="1" applyFill="1" applyBorder="1" applyAlignment="1" applyProtection="1">
      <alignment vertical="center"/>
      <protection locked="0"/>
    </xf>
    <xf numFmtId="0" fontId="15" fillId="2" borderId="24" xfId="0" applyFont="1" applyFill="1" applyBorder="1" applyAlignment="1" applyProtection="1">
      <alignment vertical="center"/>
      <protection locked="0"/>
    </xf>
    <xf numFmtId="0" fontId="0" fillId="2" borderId="0" xfId="0" applyFill="1"/>
    <xf numFmtId="0" fontId="0" fillId="3" borderId="0" xfId="0" applyFill="1"/>
    <xf numFmtId="0" fontId="0" fillId="4" borderId="0" xfId="0" applyFill="1"/>
    <xf numFmtId="0" fontId="69" fillId="2" borderId="0" xfId="0" applyFont="1" applyFill="1"/>
    <xf numFmtId="168" fontId="44" fillId="0" borderId="0" xfId="4" applyNumberFormat="1" applyFont="1" applyProtection="1">
      <protection locked="0"/>
    </xf>
    <xf numFmtId="168" fontId="44" fillId="0" borderId="26" xfId="4" applyNumberFormat="1" applyFont="1" applyBorder="1" applyProtection="1">
      <protection locked="0"/>
    </xf>
    <xf numFmtId="191" fontId="43" fillId="0" borderId="0" xfId="1" applyNumberFormat="1" applyFont="1" applyFill="1" applyBorder="1" applyAlignment="1" applyProtection="1">
      <alignment horizontal="right"/>
      <protection locked="0"/>
    </xf>
    <xf numFmtId="191" fontId="0" fillId="0" borderId="0" xfId="1" applyNumberFormat="1" applyFont="1" applyFill="1" applyBorder="1" applyProtection="1"/>
    <xf numFmtId="0" fontId="66" fillId="0" borderId="0" xfId="0" applyFont="1" applyProtection="1">
      <protection locked="0"/>
    </xf>
    <xf numFmtId="0" fontId="66" fillId="0" borderId="0" xfId="0" applyFont="1" applyAlignment="1" applyProtection="1">
      <alignment horizontal="right"/>
      <protection locked="0"/>
    </xf>
    <xf numFmtId="0" fontId="66" fillId="0" borderId="26" xfId="0" applyFont="1" applyBorder="1" applyProtection="1">
      <protection locked="0"/>
    </xf>
    <xf numFmtId="174" fontId="0" fillId="0" borderId="0" xfId="0" applyNumberFormat="1"/>
    <xf numFmtId="168" fontId="39" fillId="0" borderId="34" xfId="0" applyNumberFormat="1" applyFont="1" applyBorder="1"/>
    <xf numFmtId="168" fontId="39" fillId="0" borderId="0" xfId="0" applyNumberFormat="1" applyFont="1"/>
    <xf numFmtId="168" fontId="39" fillId="0" borderId="35" xfId="0" applyNumberFormat="1" applyFont="1" applyBorder="1"/>
    <xf numFmtId="168" fontId="39" fillId="0" borderId="36" xfId="0" applyNumberFormat="1" applyFont="1" applyBorder="1"/>
    <xf numFmtId="168" fontId="39" fillId="0" borderId="37" xfId="0" applyNumberFormat="1" applyFont="1" applyBorder="1"/>
    <xf numFmtId="168" fontId="39" fillId="0" borderId="38" xfId="0" applyNumberFormat="1" applyFont="1" applyBorder="1"/>
    <xf numFmtId="193" fontId="66" fillId="0" borderId="0" xfId="0" applyNumberFormat="1" applyFont="1"/>
    <xf numFmtId="193" fontId="0" fillId="0" borderId="0" xfId="0" applyNumberFormat="1"/>
    <xf numFmtId="10" fontId="0" fillId="0" borderId="0" xfId="4" applyNumberFormat="1" applyFont="1"/>
    <xf numFmtId="10" fontId="0" fillId="0" borderId="32" xfId="4" applyNumberFormat="1" applyFont="1" applyBorder="1"/>
    <xf numFmtId="0" fontId="0" fillId="0" borderId="0" xfId="0" applyAlignment="1">
      <alignment horizontal="left" indent="1"/>
    </xf>
    <xf numFmtId="195" fontId="44" fillId="0" borderId="0" xfId="1" applyNumberFormat="1" applyFont="1"/>
    <xf numFmtId="195" fontId="43" fillId="0" borderId="0" xfId="1" applyNumberFormat="1" applyFont="1"/>
    <xf numFmtId="194" fontId="67" fillId="0" borderId="0" xfId="1" applyNumberFormat="1" applyFont="1"/>
    <xf numFmtId="194" fontId="66" fillId="0" borderId="0" xfId="1" applyNumberFormat="1" applyFont="1"/>
    <xf numFmtId="195" fontId="66" fillId="0" borderId="0" xfId="1" applyNumberFormat="1" applyFont="1"/>
    <xf numFmtId="196" fontId="0" fillId="0" borderId="0" xfId="0" applyNumberFormat="1"/>
    <xf numFmtId="191" fontId="65" fillId="0" borderId="39" xfId="1" applyNumberFormat="1" applyFont="1" applyBorder="1" applyProtection="1"/>
    <xf numFmtId="197" fontId="0" fillId="0" borderId="0" xfId="0" applyNumberFormat="1"/>
    <xf numFmtId="197" fontId="44" fillId="0" borderId="0" xfId="0" applyNumberFormat="1" applyFont="1"/>
    <xf numFmtId="195" fontId="8" fillId="0" borderId="0" xfId="1" applyNumberFormat="1" applyFont="1" applyBorder="1" applyProtection="1"/>
    <xf numFmtId="195" fontId="8" fillId="0" borderId="0" xfId="1" applyNumberFormat="1" applyFont="1" applyFill="1" applyBorder="1" applyProtection="1"/>
    <xf numFmtId="191" fontId="65" fillId="0" borderId="7" xfId="1" applyNumberFormat="1" applyFont="1" applyFill="1" applyBorder="1" applyProtection="1">
      <protection locked="0"/>
    </xf>
    <xf numFmtId="195" fontId="67" fillId="0" borderId="0" xfId="1" applyNumberFormat="1" applyFont="1"/>
    <xf numFmtId="178" fontId="43" fillId="0" borderId="0" xfId="1" applyNumberFormat="1" applyFont="1" applyFill="1" applyProtection="1"/>
    <xf numFmtId="179" fontId="43" fillId="0" borderId="0" xfId="1" applyNumberFormat="1" applyFont="1" applyFill="1" applyProtection="1"/>
    <xf numFmtId="191" fontId="0" fillId="0" borderId="0" xfId="1" applyNumberFormat="1" applyFont="1" applyFill="1" applyBorder="1" applyAlignment="1" applyProtection="1">
      <alignment horizontal="right"/>
    </xf>
    <xf numFmtId="191" fontId="0" fillId="0" borderId="7" xfId="1" applyNumberFormat="1" applyFont="1" applyFill="1" applyBorder="1" applyAlignment="1" applyProtection="1">
      <alignment horizontal="right"/>
    </xf>
    <xf numFmtId="195" fontId="0" fillId="0" borderId="0" xfId="1" applyNumberFormat="1" applyFont="1" applyFill="1" applyBorder="1" applyAlignment="1" applyProtection="1">
      <alignment horizontal="right"/>
    </xf>
    <xf numFmtId="0" fontId="13" fillId="0" borderId="0" xfId="0" applyFont="1" applyAlignment="1">
      <alignment horizontal="left"/>
    </xf>
    <xf numFmtId="181" fontId="8" fillId="0" borderId="0" xfId="1" applyNumberFormat="1" applyFont="1" applyFill="1" applyBorder="1" applyProtection="1"/>
    <xf numFmtId="191" fontId="65" fillId="0" borderId="7" xfId="0" applyNumberFormat="1" applyFont="1" applyBorder="1"/>
    <xf numFmtId="0" fontId="8" fillId="0" borderId="37" xfId="0" applyFont="1" applyBorder="1"/>
    <xf numFmtId="0" fontId="46" fillId="0" borderId="37" xfId="0" applyFont="1" applyBorder="1"/>
    <xf numFmtId="37" fontId="8" fillId="0" borderId="37" xfId="1" applyNumberFormat="1" applyFont="1" applyFill="1" applyBorder="1" applyProtection="1"/>
    <xf numFmtId="37" fontId="8" fillId="0" borderId="0" xfId="1" applyNumberFormat="1" applyFont="1" applyFill="1" applyBorder="1" applyProtection="1"/>
    <xf numFmtId="172" fontId="8" fillId="0" borderId="0" xfId="1" applyNumberFormat="1" applyFont="1" applyFill="1" applyBorder="1" applyProtection="1"/>
    <xf numFmtId="191" fontId="65" fillId="0" borderId="39" xfId="0" applyNumberFormat="1" applyFont="1" applyBorder="1"/>
    <xf numFmtId="195" fontId="67" fillId="0" borderId="0" xfId="1" applyNumberFormat="1" applyFont="1" applyFill="1"/>
    <xf numFmtId="191" fontId="66" fillId="0" borderId="0" xfId="0" applyNumberFormat="1" applyFont="1"/>
    <xf numFmtId="195" fontId="71" fillId="0" borderId="0" xfId="1" applyNumberFormat="1" applyFont="1" applyFill="1"/>
    <xf numFmtId="191" fontId="0" fillId="0" borderId="41" xfId="1" applyNumberFormat="1" applyFont="1" applyBorder="1" applyAlignment="1" applyProtection="1">
      <alignment horizontal="right"/>
    </xf>
    <xf numFmtId="9" fontId="72" fillId="0" borderId="0" xfId="4" applyFont="1"/>
    <xf numFmtId="166" fontId="8" fillId="0" borderId="39" xfId="0" applyNumberFormat="1" applyFont="1" applyBorder="1"/>
    <xf numFmtId="166" fontId="65" fillId="0" borderId="0" xfId="0" applyNumberFormat="1" applyFont="1"/>
    <xf numFmtId="166" fontId="8" fillId="0" borderId="8" xfId="0" applyNumberFormat="1" applyFont="1" applyBorder="1"/>
    <xf numFmtId="166" fontId="8" fillId="0" borderId="7" xfId="0" applyNumberFormat="1" applyFont="1" applyBorder="1"/>
    <xf numFmtId="166" fontId="0" fillId="0" borderId="13" xfId="0" applyNumberFormat="1" applyBorder="1"/>
    <xf numFmtId="166" fontId="70" fillId="0" borderId="0" xfId="0" applyNumberFormat="1" applyFont="1"/>
    <xf numFmtId="172" fontId="67" fillId="0" borderId="0" xfId="0" applyNumberFormat="1" applyFont="1"/>
    <xf numFmtId="198" fontId="28" fillId="0" borderId="26" xfId="0" applyNumberFormat="1" applyFont="1" applyBorder="1" applyAlignment="1" applyProtection="1">
      <alignment horizontal="right"/>
      <protection locked="0"/>
    </xf>
    <xf numFmtId="181" fontId="66" fillId="0" borderId="0" xfId="1" applyNumberFormat="1" applyFont="1" applyProtection="1"/>
    <xf numFmtId="195" fontId="72" fillId="0" borderId="7" xfId="4" applyNumberFormat="1" applyFont="1" applyBorder="1"/>
    <xf numFmtId="195" fontId="2" fillId="0" borderId="7" xfId="1" applyNumberFormat="1" applyFont="1" applyBorder="1"/>
    <xf numFmtId="195" fontId="71" fillId="0" borderId="7" xfId="1" applyNumberFormat="1" applyFont="1" applyBorder="1"/>
    <xf numFmtId="195" fontId="0" fillId="0" borderId="0" xfId="1" applyNumberFormat="1" applyFont="1"/>
    <xf numFmtId="195" fontId="0" fillId="0" borderId="7" xfId="1" applyNumberFormat="1" applyFont="1" applyBorder="1"/>
    <xf numFmtId="9" fontId="0" fillId="0" borderId="0" xfId="4" applyFont="1"/>
    <xf numFmtId="195" fontId="0" fillId="0" borderId="0" xfId="1" applyNumberFormat="1" applyFont="1" applyBorder="1"/>
    <xf numFmtId="195" fontId="0" fillId="0" borderId="0" xfId="0" applyNumberFormat="1"/>
    <xf numFmtId="195" fontId="0" fillId="0" borderId="39" xfId="0" applyNumberFormat="1" applyBorder="1"/>
    <xf numFmtId="195" fontId="68" fillId="0" borderId="7" xfId="0" applyNumberFormat="1" applyFont="1" applyBorder="1"/>
    <xf numFmtId="195" fontId="76" fillId="0" borderId="0" xfId="1" applyNumberFormat="1" applyFont="1"/>
    <xf numFmtId="0" fontId="76" fillId="0" borderId="0" xfId="0" applyFont="1"/>
    <xf numFmtId="195" fontId="67" fillId="0" borderId="0" xfId="0" applyNumberFormat="1" applyFont="1"/>
    <xf numFmtId="2" fontId="0" fillId="0" borderId="0" xfId="0" applyNumberFormat="1"/>
    <xf numFmtId="2" fontId="66" fillId="0" borderId="0" xfId="0" applyNumberFormat="1" applyFont="1"/>
    <xf numFmtId="43" fontId="66" fillId="0" borderId="0" xfId="1" applyFont="1"/>
    <xf numFmtId="195" fontId="71" fillId="0" borderId="39" xfId="1" applyNumberFormat="1" applyFont="1" applyBorder="1"/>
    <xf numFmtId="43" fontId="67" fillId="0" borderId="0" xfId="1" applyFont="1"/>
    <xf numFmtId="43" fontId="72" fillId="0" borderId="0" xfId="4" applyNumberFormat="1" applyFont="1"/>
    <xf numFmtId="43" fontId="44" fillId="0" borderId="0" xfId="1" applyFont="1"/>
    <xf numFmtId="195" fontId="2" fillId="0" borderId="39" xfId="1" applyNumberFormat="1" applyFont="1" applyBorder="1"/>
    <xf numFmtId="193" fontId="44" fillId="0" borderId="0" xfId="1" applyNumberFormat="1" applyFont="1" applyBorder="1" applyProtection="1"/>
    <xf numFmtId="43" fontId="71" fillId="0" borderId="0" xfId="1" applyFont="1" applyFill="1"/>
    <xf numFmtId="43" fontId="67" fillId="0" borderId="0" xfId="1" applyFont="1" applyFill="1"/>
    <xf numFmtId="0" fontId="0" fillId="0" borderId="0" xfId="0" applyAlignment="1">
      <alignment horizontal="left" indent="2"/>
    </xf>
    <xf numFmtId="199" fontId="71" fillId="0" borderId="0" xfId="1" applyNumberFormat="1" applyFont="1" applyFill="1"/>
    <xf numFmtId="187" fontId="44" fillId="0" borderId="0" xfId="1" applyNumberFormat="1" applyFont="1" applyBorder="1" applyProtection="1"/>
    <xf numFmtId="187" fontId="66" fillId="0" borderId="0" xfId="1" applyNumberFormat="1" applyFont="1"/>
    <xf numFmtId="199" fontId="67" fillId="0" borderId="0" xfId="1" applyNumberFormat="1" applyFont="1" applyFill="1"/>
    <xf numFmtId="191" fontId="2" fillId="0" borderId="0" xfId="1" applyNumberFormat="1" applyFont="1" applyFill="1" applyBorder="1" applyProtection="1"/>
    <xf numFmtId="166" fontId="0" fillId="0" borderId="43" xfId="0" applyNumberFormat="1" applyBorder="1"/>
    <xf numFmtId="166" fontId="0" fillId="0" borderId="44" xfId="0" applyNumberFormat="1" applyBorder="1"/>
    <xf numFmtId="166" fontId="0" fillId="0" borderId="45" xfId="0" applyNumberFormat="1" applyBorder="1"/>
    <xf numFmtId="191" fontId="2" fillId="0" borderId="0" xfId="1" applyNumberFormat="1" applyFont="1" applyFill="1" applyBorder="1" applyProtection="1">
      <protection locked="0"/>
    </xf>
    <xf numFmtId="191" fontId="44" fillId="0" borderId="13" xfId="1" applyNumberFormat="1" applyFont="1" applyFill="1" applyBorder="1" applyProtection="1">
      <protection locked="0"/>
    </xf>
    <xf numFmtId="191" fontId="43" fillId="0" borderId="0" xfId="1" applyNumberFormat="1" applyFont="1" applyBorder="1" applyAlignment="1" applyProtection="1">
      <alignment horizontal="right"/>
    </xf>
    <xf numFmtId="191" fontId="66" fillId="0" borderId="0" xfId="1" applyNumberFormat="1" applyFont="1" applyBorder="1" applyAlignment="1" applyProtection="1">
      <alignment horizontal="right"/>
    </xf>
    <xf numFmtId="9" fontId="2" fillId="0" borderId="0" xfId="4" applyFont="1" applyFill="1" applyBorder="1" applyProtection="1">
      <protection locked="0"/>
    </xf>
    <xf numFmtId="9" fontId="28" fillId="0" borderId="26" xfId="0" applyNumberFormat="1" applyFont="1" applyBorder="1" applyAlignment="1" applyProtection="1">
      <alignment horizontal="right"/>
      <protection locked="0"/>
    </xf>
    <xf numFmtId="9" fontId="39" fillId="0" borderId="0" xfId="0" applyNumberFormat="1" applyFont="1"/>
    <xf numFmtId="191" fontId="67" fillId="0" borderId="13" xfId="0" applyNumberFormat="1" applyFont="1" applyBorder="1"/>
    <xf numFmtId="191" fontId="54" fillId="0" borderId="0" xfId="0" applyNumberFormat="1" applyFont="1"/>
    <xf numFmtId="191" fontId="28" fillId="0" borderId="7" xfId="0" applyNumberFormat="1" applyFont="1" applyBorder="1"/>
    <xf numFmtId="191" fontId="28" fillId="0" borderId="9" xfId="0" applyNumberFormat="1" applyFont="1" applyBorder="1"/>
    <xf numFmtId="191" fontId="54" fillId="0" borderId="14" xfId="0" applyNumberFormat="1" applyFont="1" applyBorder="1"/>
    <xf numFmtId="191" fontId="54" fillId="0" borderId="13" xfId="0" applyNumberFormat="1" applyFont="1" applyBorder="1"/>
    <xf numFmtId="191" fontId="54" fillId="0" borderId="20" xfId="0" applyNumberFormat="1" applyFont="1" applyBorder="1"/>
    <xf numFmtId="191" fontId="38" fillId="0" borderId="13" xfId="0" applyNumberFormat="1" applyFont="1" applyBorder="1"/>
    <xf numFmtId="191" fontId="38" fillId="0" borderId="20" xfId="0" applyNumberFormat="1" applyFont="1" applyBorder="1"/>
    <xf numFmtId="9" fontId="8" fillId="0" borderId="0" xfId="4" applyFont="1" applyProtection="1"/>
    <xf numFmtId="10" fontId="67" fillId="0" borderId="0" xfId="0" applyNumberFormat="1" applyFont="1" applyProtection="1">
      <protection locked="0"/>
    </xf>
    <xf numFmtId="168" fontId="72" fillId="0" borderId="0" xfId="4" applyNumberFormat="1" applyFont="1"/>
    <xf numFmtId="166" fontId="66" fillId="0" borderId="43" xfId="0" applyNumberFormat="1" applyFont="1" applyBorder="1"/>
    <xf numFmtId="166" fontId="66" fillId="0" borderId="44" xfId="0" applyNumberFormat="1" applyFont="1" applyBorder="1"/>
    <xf numFmtId="166" fontId="66" fillId="0" borderId="45" xfId="0" applyNumberFormat="1" applyFont="1" applyBorder="1"/>
    <xf numFmtId="0" fontId="21" fillId="0" borderId="0" xfId="2" applyFont="1" applyAlignment="1" applyProtection="1">
      <alignment horizontal="left" vertical="top" wrapText="1"/>
      <protection locked="0"/>
    </xf>
    <xf numFmtId="0" fontId="21" fillId="0" borderId="0" xfId="2" applyFont="1" applyAlignment="1" applyProtection="1">
      <alignment horizontal="left" vertical="top"/>
      <protection locked="0"/>
    </xf>
    <xf numFmtId="0" fontId="21" fillId="0" borderId="13" xfId="2" applyFont="1" applyBorder="1" applyAlignment="1" applyProtection="1">
      <alignment horizontal="left" vertical="top"/>
      <protection locked="0"/>
    </xf>
    <xf numFmtId="0" fontId="75" fillId="0" borderId="0" xfId="0" applyFont="1" applyAlignment="1" applyProtection="1">
      <alignment horizontal="left" vertical="top" wrapText="1"/>
      <protection locked="0"/>
    </xf>
    <xf numFmtId="0" fontId="73" fillId="0" borderId="0" xfId="0" applyFont="1" applyAlignment="1" applyProtection="1">
      <alignment horizontal="left" vertical="top" wrapText="1"/>
      <protection locked="0"/>
    </xf>
  </cellXfs>
  <cellStyles count="5">
    <cellStyle name="Comma" xfId="1" builtinId="3"/>
    <cellStyle name="Normal" xfId="0" builtinId="0"/>
    <cellStyle name="Normal_DrydenNewDCF3" xfId="2" xr:uid="{EAA9EECC-784D-4977-9DF6-5F4A6CB334CF}"/>
    <cellStyle name="Normal_TrainingDCF1" xfId="3" xr:uid="{19D3BFC2-5F10-467D-9CB0-82A4FE31B1EB}"/>
    <cellStyle name="Percent" xfId="4" builtinId="5"/>
  </cellStyles>
  <dxfs count="0"/>
  <tableStyles count="0" defaultTableStyle="TableStyleMedium2" defaultPivotStyle="PivotStyleLight16"/>
  <colors>
    <mruColors>
      <color rgb="FF0000FF"/>
      <color rgb="FF009B73"/>
      <color rgb="FF406E8E"/>
      <color rgb="FF06D6A0"/>
      <color rgb="FF2339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Drop" dropStyle="combo" dx="31" fmlaLink="$D$6" fmlaRange="$C$14:$C$16"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356153</xdr:colOff>
      <xdr:row>20</xdr:row>
      <xdr:rowOff>66261</xdr:rowOff>
    </xdr:from>
    <xdr:to>
      <xdr:col>10</xdr:col>
      <xdr:colOff>571500</xdr:colOff>
      <xdr:row>35</xdr:row>
      <xdr:rowOff>23192</xdr:rowOff>
    </xdr:to>
    <xdr:pic>
      <xdr:nvPicPr>
        <xdr:cNvPr id="4" name="Picture 3">
          <a:extLst>
            <a:ext uri="{FF2B5EF4-FFF2-40B4-BE49-F238E27FC236}">
              <a16:creationId xmlns:a16="http://schemas.microsoft.com/office/drawing/2014/main" id="{43A992E4-A0C0-AFBD-3A66-99BD199C68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1283" y="3925957"/>
          <a:ext cx="3528391" cy="28227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1181100</xdr:colOff>
          <xdr:row>4</xdr:row>
          <xdr:rowOff>66675</xdr:rowOff>
        </xdr:from>
        <xdr:to>
          <xdr:col>4</xdr:col>
          <xdr:colOff>104775</xdr:colOff>
          <xdr:row>6</xdr:row>
          <xdr:rowOff>19050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5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4FD02-CFA6-4FD3-A2FD-563A2B8EB489}">
  <dimension ref="B2:T162"/>
  <sheetViews>
    <sheetView showGridLines="0" tabSelected="1" view="pageBreakPreview" zoomScale="130" zoomScaleNormal="100" zoomScaleSheetLayoutView="130" workbookViewId="0"/>
  </sheetViews>
  <sheetFormatPr defaultRowHeight="15" x14ac:dyDescent="0.25"/>
  <cols>
    <col min="1" max="1" width="2.140625" customWidth="1"/>
    <col min="2" max="2" width="5.28515625" customWidth="1"/>
    <col min="3" max="3" width="24.28515625" bestFit="1" customWidth="1"/>
    <col min="4" max="11" width="12.42578125"/>
  </cols>
  <sheetData>
    <row r="2" spans="2:11" x14ac:dyDescent="0.25">
      <c r="B2" s="509"/>
      <c r="C2" s="512" t="s">
        <v>167</v>
      </c>
      <c r="D2" s="509"/>
      <c r="E2" s="509"/>
      <c r="F2" s="509"/>
      <c r="G2" s="509"/>
      <c r="H2" s="509"/>
      <c r="I2" s="509"/>
      <c r="J2" s="509"/>
      <c r="K2" s="509"/>
    </row>
    <row r="3" spans="2:11" x14ac:dyDescent="0.25">
      <c r="B3" s="509"/>
      <c r="C3" s="509"/>
      <c r="D3" s="509"/>
      <c r="E3" s="509"/>
      <c r="F3" s="509"/>
      <c r="G3" s="509"/>
      <c r="H3" s="509"/>
      <c r="I3" s="509"/>
      <c r="J3" s="509"/>
      <c r="K3" s="509"/>
    </row>
    <row r="4" spans="2:11" ht="6.95" customHeight="1" x14ac:dyDescent="0.25">
      <c r="B4" s="510"/>
      <c r="C4" s="510"/>
      <c r="D4" s="510"/>
      <c r="E4" s="510"/>
      <c r="F4" s="510"/>
      <c r="G4" s="510"/>
      <c r="H4" s="510"/>
      <c r="I4" s="510"/>
      <c r="J4" s="510"/>
      <c r="K4" s="510"/>
    </row>
    <row r="5" spans="2:11" ht="6.95" customHeight="1" x14ac:dyDescent="0.25">
      <c r="B5" s="511"/>
      <c r="C5" s="511"/>
      <c r="D5" s="511"/>
      <c r="E5" s="511"/>
      <c r="F5" s="511"/>
      <c r="G5" s="511"/>
      <c r="H5" s="511"/>
      <c r="I5" s="511"/>
      <c r="J5" s="511"/>
      <c r="K5" s="511"/>
    </row>
    <row r="12" spans="2:11" ht="36" x14ac:dyDescent="0.55000000000000004">
      <c r="C12" s="365" t="s">
        <v>282</v>
      </c>
    </row>
    <row r="13" spans="2:11" x14ac:dyDescent="0.25">
      <c r="C13" t="s">
        <v>268</v>
      </c>
    </row>
    <row r="23" spans="7:7" ht="15.75" x14ac:dyDescent="0.25">
      <c r="G23" s="364"/>
    </row>
    <row r="36" spans="2:11" x14ac:dyDescent="0.25">
      <c r="B36" s="212"/>
      <c r="C36" s="212"/>
      <c r="D36" s="212"/>
      <c r="E36" s="212"/>
      <c r="F36" s="212"/>
      <c r="G36" s="212"/>
      <c r="H36" s="212"/>
      <c r="I36" s="212"/>
      <c r="J36" s="212"/>
      <c r="K36" s="212"/>
    </row>
    <row r="153" spans="2:16" ht="12.75" customHeight="1" x14ac:dyDescent="0.35">
      <c r="B153" s="176"/>
      <c r="C153" s="177"/>
      <c r="D153" s="173"/>
      <c r="E153" s="173"/>
      <c r="F153" s="173"/>
      <c r="G153" s="174"/>
      <c r="H153" s="173"/>
      <c r="I153" s="173"/>
      <c r="J153" s="173"/>
      <c r="K153" s="173"/>
      <c r="L153" s="173"/>
      <c r="M153" s="173"/>
      <c r="N153" s="173"/>
      <c r="O153" s="173"/>
      <c r="P153" s="214"/>
    </row>
    <row r="156" spans="2:16" ht="3" customHeight="1" x14ac:dyDescent="0.25"/>
    <row r="162" spans="19:20" x14ac:dyDescent="0.25">
      <c r="S162" s="242"/>
      <c r="T162" s="242"/>
    </row>
  </sheetData>
  <printOptions horizontalCentered="1"/>
  <pageMargins left="0.23622047244094491" right="0.23622047244094491" top="0.23622047244094491" bottom="0.51181102362204722" header="0.23622047244094491" footer="0.23622047244094491"/>
  <pageSetup scale="95" orientation="landscape" r:id="rId1"/>
  <headerFooter>
    <oddFooter>&amp;CPage &amp;P of &amp;N&amp;R&amp;D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8E85F-9107-4239-8396-2424235AA1AE}">
  <dimension ref="B1:Q49"/>
  <sheetViews>
    <sheetView showGridLines="0" view="pageBreakPreview" zoomScale="115" zoomScaleNormal="100" zoomScaleSheetLayoutView="115" workbookViewId="0"/>
  </sheetViews>
  <sheetFormatPr defaultRowHeight="15" x14ac:dyDescent="0.25"/>
  <cols>
    <col min="1" max="1" width="2.5703125" customWidth="1"/>
    <col min="2" max="2" width="4.7109375" customWidth="1"/>
    <col min="3" max="4" width="1.7109375" customWidth="1"/>
    <col min="5" max="5" width="20.7109375" customWidth="1"/>
    <col min="6" max="6" width="9.28515625" customWidth="1"/>
    <col min="7" max="7" width="1.85546875" customWidth="1"/>
    <col min="8" max="15" width="9.28515625" customWidth="1"/>
    <col min="16" max="16" width="1.7109375" customWidth="1"/>
    <col min="17" max="17" width="4.7109375" customWidth="1"/>
    <col min="18" max="19" width="2.7109375" customWidth="1"/>
  </cols>
  <sheetData>
    <row r="1" spans="2:17" s="4" customFormat="1" ht="22.7" customHeight="1" x14ac:dyDescent="0.4">
      <c r="B1" s="1" t="s">
        <v>249</v>
      </c>
      <c r="C1" s="2"/>
      <c r="D1" s="2"/>
      <c r="E1" s="2"/>
      <c r="F1" s="2"/>
      <c r="G1" s="2"/>
      <c r="H1" s="3"/>
      <c r="I1" s="3"/>
      <c r="J1" s="3"/>
      <c r="K1" s="3"/>
      <c r="L1" s="3"/>
      <c r="M1" s="3"/>
      <c r="N1" s="3"/>
      <c r="O1" s="3"/>
      <c r="P1" s="3"/>
      <c r="Q1" s="3"/>
    </row>
    <row r="2" spans="2:17" s="4" customFormat="1" ht="18" x14ac:dyDescent="0.25">
      <c r="B2" s="5"/>
      <c r="C2" s="5"/>
      <c r="D2" s="5"/>
      <c r="E2" s="5"/>
      <c r="F2" s="5"/>
      <c r="G2" s="5"/>
      <c r="H2" s="5"/>
      <c r="I2" s="5"/>
      <c r="J2" s="5"/>
      <c r="K2" s="5"/>
      <c r="L2" s="5"/>
      <c r="M2" s="5"/>
      <c r="N2" s="5"/>
      <c r="O2" s="5"/>
      <c r="P2" s="5"/>
      <c r="Q2" s="5"/>
    </row>
    <row r="3" spans="2:17" s="4" customFormat="1" ht="3" customHeight="1" thickBot="1" x14ac:dyDescent="0.25">
      <c r="B3" s="6"/>
      <c r="C3" s="6"/>
      <c r="D3" s="6"/>
      <c r="E3" s="6"/>
      <c r="F3" s="6"/>
      <c r="G3" s="6"/>
      <c r="H3" s="6"/>
      <c r="I3" s="6"/>
      <c r="J3" s="6"/>
      <c r="K3" s="6"/>
      <c r="L3" s="6"/>
      <c r="M3" s="6"/>
      <c r="N3" s="6"/>
      <c r="O3" s="6"/>
      <c r="P3" s="6"/>
      <c r="Q3" s="6"/>
    </row>
    <row r="4" spans="2:17" s="4" customFormat="1" ht="4.5" customHeight="1" x14ac:dyDescent="0.3">
      <c r="C4" s="7"/>
      <c r="D4" s="7"/>
      <c r="E4" s="7"/>
      <c r="F4" s="7"/>
      <c r="G4" s="7"/>
      <c r="H4" s="7"/>
      <c r="I4" s="7"/>
      <c r="J4" s="7"/>
      <c r="K4" s="7"/>
      <c r="L4" s="7"/>
      <c r="M4" s="7"/>
      <c r="N4" s="7"/>
      <c r="O4" s="7"/>
      <c r="P4" s="7"/>
    </row>
    <row r="5" spans="2:17" s="4" customFormat="1" ht="15" customHeight="1" x14ac:dyDescent="0.4">
      <c r="C5" s="628" t="s">
        <v>250</v>
      </c>
      <c r="D5" s="629"/>
      <c r="E5" s="629"/>
      <c r="F5" s="629"/>
      <c r="G5" s="629"/>
      <c r="H5" s="629"/>
      <c r="I5" s="629"/>
      <c r="J5" s="629"/>
      <c r="K5" s="629"/>
      <c r="L5" s="629"/>
      <c r="M5" s="629"/>
      <c r="N5" s="629"/>
      <c r="O5" s="629"/>
      <c r="P5" s="629"/>
      <c r="Q5" s="3"/>
    </row>
    <row r="6" spans="2:17" s="10" customFormat="1" ht="15" customHeight="1" x14ac:dyDescent="0.4">
      <c r="C6" s="629"/>
      <c r="D6" s="629"/>
      <c r="E6" s="629"/>
      <c r="F6" s="629"/>
      <c r="G6" s="629"/>
      <c r="H6" s="629"/>
      <c r="I6" s="629"/>
      <c r="J6" s="629"/>
      <c r="K6" s="629"/>
      <c r="L6" s="629"/>
      <c r="M6" s="629"/>
      <c r="N6" s="629"/>
      <c r="O6" s="629"/>
      <c r="P6" s="629"/>
      <c r="Q6" s="3"/>
    </row>
    <row r="7" spans="2:17" s="10" customFormat="1" ht="15" customHeight="1" x14ac:dyDescent="0.4">
      <c r="C7" s="629"/>
      <c r="D7" s="629"/>
      <c r="E7" s="629"/>
      <c r="F7" s="629"/>
      <c r="G7" s="629"/>
      <c r="H7" s="629"/>
      <c r="I7" s="629"/>
      <c r="J7" s="629"/>
      <c r="K7" s="629"/>
      <c r="L7" s="629"/>
      <c r="M7" s="629"/>
      <c r="N7" s="629"/>
      <c r="O7" s="629"/>
      <c r="P7" s="629"/>
      <c r="Q7" s="3"/>
    </row>
    <row r="8" spans="2:17" s="4" customFormat="1" ht="3" customHeight="1" x14ac:dyDescent="0.4">
      <c r="C8" s="629"/>
      <c r="D8" s="629"/>
      <c r="E8" s="629"/>
      <c r="F8" s="629"/>
      <c r="G8" s="629"/>
      <c r="H8" s="629"/>
      <c r="I8" s="629"/>
      <c r="J8" s="629"/>
      <c r="K8" s="629"/>
      <c r="L8" s="629"/>
      <c r="M8" s="629"/>
      <c r="N8" s="629"/>
      <c r="O8" s="629"/>
      <c r="P8" s="629"/>
      <c r="Q8" s="3"/>
    </row>
    <row r="9" spans="2:17" s="4" customFormat="1" ht="3" customHeight="1" x14ac:dyDescent="0.4">
      <c r="C9" s="629"/>
      <c r="D9" s="629"/>
      <c r="E9" s="629"/>
      <c r="F9" s="629"/>
      <c r="G9" s="629"/>
      <c r="H9" s="629"/>
      <c r="I9" s="629"/>
      <c r="J9" s="629"/>
      <c r="K9" s="629"/>
      <c r="L9" s="629"/>
      <c r="M9" s="629"/>
      <c r="N9" s="629"/>
      <c r="O9" s="629"/>
      <c r="P9" s="629"/>
      <c r="Q9" s="3"/>
    </row>
    <row r="10" spans="2:17" s="4" customFormat="1" ht="12.95" customHeight="1" x14ac:dyDescent="0.4">
      <c r="C10" s="629"/>
      <c r="D10" s="629"/>
      <c r="E10" s="629"/>
      <c r="F10" s="629"/>
      <c r="G10" s="629"/>
      <c r="H10" s="629"/>
      <c r="I10" s="629"/>
      <c r="J10" s="629"/>
      <c r="K10" s="629"/>
      <c r="L10" s="629"/>
      <c r="M10" s="629"/>
      <c r="N10" s="629"/>
      <c r="O10" s="629"/>
      <c r="P10" s="629"/>
      <c r="Q10" s="3"/>
    </row>
    <row r="11" spans="2:17" s="4" customFormat="1" ht="3" customHeight="1" x14ac:dyDescent="0.4">
      <c r="C11" s="629"/>
      <c r="D11" s="629"/>
      <c r="E11" s="629"/>
      <c r="F11" s="629"/>
      <c r="G11" s="629"/>
      <c r="H11" s="629"/>
      <c r="I11" s="629"/>
      <c r="J11" s="629"/>
      <c r="K11" s="629"/>
      <c r="L11" s="629"/>
      <c r="M11" s="629"/>
      <c r="N11" s="629"/>
      <c r="O11" s="629"/>
      <c r="P11" s="629"/>
      <c r="Q11" s="3"/>
    </row>
    <row r="12" spans="2:17" s="4" customFormat="1" ht="26.25" x14ac:dyDescent="0.4">
      <c r="C12" s="629"/>
      <c r="D12" s="629"/>
      <c r="E12" s="629"/>
      <c r="F12" s="629"/>
      <c r="G12" s="629"/>
      <c r="H12" s="629"/>
      <c r="I12" s="629"/>
      <c r="J12" s="629"/>
      <c r="K12" s="629"/>
      <c r="L12" s="629"/>
      <c r="M12" s="629"/>
      <c r="N12" s="629"/>
      <c r="O12" s="629"/>
      <c r="P12" s="629"/>
      <c r="Q12" s="3"/>
    </row>
    <row r="13" spans="2:17" s="4" customFormat="1" ht="26.25" x14ac:dyDescent="0.4">
      <c r="C13" s="629"/>
      <c r="D13" s="629"/>
      <c r="E13" s="629"/>
      <c r="F13" s="629"/>
      <c r="G13" s="629"/>
      <c r="H13" s="629"/>
      <c r="I13" s="629"/>
      <c r="J13" s="629"/>
      <c r="K13" s="629"/>
      <c r="L13" s="629"/>
      <c r="M13" s="629"/>
      <c r="N13" s="629"/>
      <c r="O13" s="629"/>
      <c r="P13" s="629"/>
      <c r="Q13" s="3"/>
    </row>
    <row r="14" spans="2:17" s="4" customFormat="1" ht="3" customHeight="1" x14ac:dyDescent="0.4">
      <c r="C14" s="629"/>
      <c r="D14" s="629"/>
      <c r="E14" s="629"/>
      <c r="F14" s="629"/>
      <c r="G14" s="629"/>
      <c r="H14" s="629"/>
      <c r="I14" s="629"/>
      <c r="J14" s="629"/>
      <c r="K14" s="629"/>
      <c r="L14" s="629"/>
      <c r="M14" s="629"/>
      <c r="N14" s="629"/>
      <c r="O14" s="629"/>
      <c r="P14" s="629"/>
      <c r="Q14" s="3"/>
    </row>
    <row r="15" spans="2:17" s="4" customFormat="1" ht="3" customHeight="1" x14ac:dyDescent="0.4">
      <c r="C15" s="629"/>
      <c r="D15" s="629"/>
      <c r="E15" s="629"/>
      <c r="F15" s="629"/>
      <c r="G15" s="629"/>
      <c r="H15" s="629"/>
      <c r="I15" s="629"/>
      <c r="J15" s="629"/>
      <c r="K15" s="629"/>
      <c r="L15" s="629"/>
      <c r="M15" s="629"/>
      <c r="N15" s="629"/>
      <c r="O15" s="629"/>
      <c r="P15" s="629"/>
      <c r="Q15" s="3"/>
    </row>
    <row r="16" spans="2:17" s="4" customFormat="1" ht="3" customHeight="1" x14ac:dyDescent="0.4">
      <c r="C16" s="629"/>
      <c r="D16" s="629"/>
      <c r="E16" s="629"/>
      <c r="F16" s="629"/>
      <c r="G16" s="629"/>
      <c r="H16" s="629"/>
      <c r="I16" s="629"/>
      <c r="J16" s="629"/>
      <c r="K16" s="629"/>
      <c r="L16" s="629"/>
      <c r="M16" s="629"/>
      <c r="N16" s="629"/>
      <c r="O16" s="629"/>
      <c r="P16" s="629"/>
      <c r="Q16" s="3"/>
    </row>
    <row r="17" spans="3:17" s="4" customFormat="1" ht="3" customHeight="1" x14ac:dyDescent="0.4">
      <c r="C17" s="629"/>
      <c r="D17" s="629"/>
      <c r="E17" s="629"/>
      <c r="F17" s="629"/>
      <c r="G17" s="629"/>
      <c r="H17" s="629"/>
      <c r="I17" s="629"/>
      <c r="J17" s="629"/>
      <c r="K17" s="629"/>
      <c r="L17" s="629"/>
      <c r="M17" s="629"/>
      <c r="N17" s="629"/>
      <c r="O17" s="629"/>
      <c r="P17" s="629"/>
      <c r="Q17" s="3"/>
    </row>
    <row r="18" spans="3:17" s="4" customFormat="1" ht="3" customHeight="1" x14ac:dyDescent="0.4">
      <c r="C18" s="629"/>
      <c r="D18" s="629"/>
      <c r="E18" s="629"/>
      <c r="F18" s="629"/>
      <c r="G18" s="629"/>
      <c r="H18" s="629"/>
      <c r="I18" s="629"/>
      <c r="J18" s="629"/>
      <c r="K18" s="629"/>
      <c r="L18" s="629"/>
      <c r="M18" s="629"/>
      <c r="N18" s="629"/>
      <c r="O18" s="629"/>
      <c r="P18" s="629"/>
      <c r="Q18" s="3"/>
    </row>
    <row r="19" spans="3:17" s="4" customFormat="1" ht="3" customHeight="1" x14ac:dyDescent="0.4">
      <c r="C19" s="629"/>
      <c r="D19" s="629"/>
      <c r="E19" s="629"/>
      <c r="F19" s="629"/>
      <c r="G19" s="629"/>
      <c r="H19" s="629"/>
      <c r="I19" s="629"/>
      <c r="J19" s="629"/>
      <c r="K19" s="629"/>
      <c r="L19" s="629"/>
      <c r="M19" s="629"/>
      <c r="N19" s="629"/>
      <c r="O19" s="629"/>
      <c r="P19" s="629"/>
      <c r="Q19" s="3"/>
    </row>
    <row r="20" spans="3:17" s="4" customFormat="1" ht="3" customHeight="1" x14ac:dyDescent="0.4">
      <c r="C20" s="629"/>
      <c r="D20" s="629"/>
      <c r="E20" s="629"/>
      <c r="F20" s="629"/>
      <c r="G20" s="629"/>
      <c r="H20" s="629"/>
      <c r="I20" s="629"/>
      <c r="J20" s="629"/>
      <c r="K20" s="629"/>
      <c r="L20" s="629"/>
      <c r="M20" s="629"/>
      <c r="N20" s="629"/>
      <c r="O20" s="629"/>
      <c r="P20" s="629"/>
      <c r="Q20" s="3"/>
    </row>
    <row r="21" spans="3:17" s="4" customFormat="1" ht="3" customHeight="1" x14ac:dyDescent="0.4">
      <c r="C21" s="629"/>
      <c r="D21" s="629"/>
      <c r="E21" s="629"/>
      <c r="F21" s="629"/>
      <c r="G21" s="629"/>
      <c r="H21" s="629"/>
      <c r="I21" s="629"/>
      <c r="J21" s="629"/>
      <c r="K21" s="629"/>
      <c r="L21" s="629"/>
      <c r="M21" s="629"/>
      <c r="N21" s="629"/>
      <c r="O21" s="629"/>
      <c r="P21" s="629"/>
      <c r="Q21" s="3"/>
    </row>
    <row r="22" spans="3:17" s="4" customFormat="1" ht="26.25" x14ac:dyDescent="0.4">
      <c r="C22" s="629"/>
      <c r="D22" s="629"/>
      <c r="E22" s="629"/>
      <c r="F22" s="629"/>
      <c r="G22" s="629"/>
      <c r="H22" s="629"/>
      <c r="I22" s="629"/>
      <c r="J22" s="629"/>
      <c r="K22" s="629"/>
      <c r="L22" s="629"/>
      <c r="M22" s="629"/>
      <c r="N22" s="629"/>
      <c r="O22" s="629"/>
      <c r="P22" s="629"/>
      <c r="Q22" s="3"/>
    </row>
    <row r="23" spans="3:17" s="4" customFormat="1" ht="26.25" x14ac:dyDescent="0.4">
      <c r="C23" s="629"/>
      <c r="D23" s="629"/>
      <c r="E23" s="629"/>
      <c r="F23" s="629"/>
      <c r="G23" s="629"/>
      <c r="H23" s="629"/>
      <c r="I23" s="629"/>
      <c r="J23" s="629"/>
      <c r="K23" s="629"/>
      <c r="L23" s="629"/>
      <c r="M23" s="629"/>
      <c r="N23" s="629"/>
      <c r="O23" s="629"/>
      <c r="P23" s="629"/>
      <c r="Q23" s="3"/>
    </row>
    <row r="24" spans="3:17" s="4" customFormat="1" ht="26.25" x14ac:dyDescent="0.4">
      <c r="C24" s="629"/>
      <c r="D24" s="629"/>
      <c r="E24" s="629"/>
      <c r="F24" s="629"/>
      <c r="G24" s="629"/>
      <c r="H24" s="629"/>
      <c r="I24" s="629"/>
      <c r="J24" s="629"/>
      <c r="K24" s="629"/>
      <c r="L24" s="629"/>
      <c r="M24" s="629"/>
      <c r="N24" s="629"/>
      <c r="O24" s="629"/>
      <c r="P24" s="629"/>
      <c r="Q24" s="3"/>
    </row>
    <row r="25" spans="3:17" s="4" customFormat="1" ht="3" customHeight="1" x14ac:dyDescent="0.4">
      <c r="C25" s="629"/>
      <c r="D25" s="629"/>
      <c r="E25" s="629"/>
      <c r="F25" s="629"/>
      <c r="G25" s="629"/>
      <c r="H25" s="629"/>
      <c r="I25" s="629"/>
      <c r="J25" s="629"/>
      <c r="K25" s="629"/>
      <c r="L25" s="629"/>
      <c r="M25" s="629"/>
      <c r="N25" s="629"/>
      <c r="O25" s="629"/>
      <c r="P25" s="629"/>
      <c r="Q25" s="3"/>
    </row>
    <row r="26" spans="3:17" s="4" customFormat="1" ht="3" customHeight="1" x14ac:dyDescent="0.4">
      <c r="C26" s="629"/>
      <c r="D26" s="629"/>
      <c r="E26" s="629"/>
      <c r="F26" s="629"/>
      <c r="G26" s="629"/>
      <c r="H26" s="629"/>
      <c r="I26" s="629"/>
      <c r="J26" s="629"/>
      <c r="K26" s="629"/>
      <c r="L26" s="629"/>
      <c r="M26" s="629"/>
      <c r="N26" s="629"/>
      <c r="O26" s="629"/>
      <c r="P26" s="629"/>
      <c r="Q26" s="3"/>
    </row>
    <row r="27" spans="3:17" s="4" customFormat="1" ht="26.25" x14ac:dyDescent="0.4">
      <c r="C27" s="629"/>
      <c r="D27" s="629"/>
      <c r="E27" s="629"/>
      <c r="F27" s="629"/>
      <c r="G27" s="629"/>
      <c r="H27" s="629"/>
      <c r="I27" s="629"/>
      <c r="J27" s="629"/>
      <c r="K27" s="629"/>
      <c r="L27" s="629"/>
      <c r="M27" s="629"/>
      <c r="N27" s="629"/>
      <c r="O27" s="629"/>
      <c r="P27" s="629"/>
      <c r="Q27" s="3"/>
    </row>
    <row r="28" spans="3:17" s="4" customFormat="1" ht="26.25" x14ac:dyDescent="0.4">
      <c r="C28" s="629"/>
      <c r="D28" s="629"/>
      <c r="E28" s="629"/>
      <c r="F28" s="629"/>
      <c r="G28" s="629"/>
      <c r="H28" s="629"/>
      <c r="I28" s="629"/>
      <c r="J28" s="629"/>
      <c r="K28" s="629"/>
      <c r="L28" s="629"/>
      <c r="M28" s="629"/>
      <c r="N28" s="629"/>
      <c r="O28" s="629"/>
      <c r="P28" s="629"/>
      <c r="Q28" s="3"/>
    </row>
    <row r="29" spans="3:17" s="4" customFormat="1" ht="26.25" x14ac:dyDescent="0.4">
      <c r="C29" s="629"/>
      <c r="D29" s="629"/>
      <c r="E29" s="629"/>
      <c r="F29" s="629"/>
      <c r="G29" s="629"/>
      <c r="H29" s="629"/>
      <c r="I29" s="629"/>
      <c r="J29" s="629"/>
      <c r="K29" s="629"/>
      <c r="L29" s="629"/>
      <c r="M29" s="629"/>
      <c r="N29" s="629"/>
      <c r="O29" s="629"/>
      <c r="P29" s="629"/>
      <c r="Q29" s="3"/>
    </row>
    <row r="30" spans="3:17" s="4" customFormat="1" ht="3.95" customHeight="1" x14ac:dyDescent="0.4">
      <c r="C30" s="629"/>
      <c r="D30" s="629"/>
      <c r="E30" s="629"/>
      <c r="F30" s="629"/>
      <c r="G30" s="629"/>
      <c r="H30" s="629"/>
      <c r="I30" s="629"/>
      <c r="J30" s="629"/>
      <c r="K30" s="629"/>
      <c r="L30" s="629"/>
      <c r="M30" s="629"/>
      <c r="N30" s="629"/>
      <c r="O30" s="629"/>
      <c r="P30" s="629"/>
      <c r="Q30" s="3"/>
    </row>
    <row r="31" spans="3:17" s="4" customFormat="1" ht="9.9499999999999993" customHeight="1" x14ac:dyDescent="0.4">
      <c r="C31" s="629"/>
      <c r="D31" s="629"/>
      <c r="E31" s="629"/>
      <c r="F31" s="629"/>
      <c r="G31" s="629"/>
      <c r="H31" s="629"/>
      <c r="I31" s="629"/>
      <c r="J31" s="629"/>
      <c r="K31" s="629"/>
      <c r="L31" s="629"/>
      <c r="M31" s="629"/>
      <c r="N31" s="629"/>
      <c r="O31" s="629"/>
      <c r="P31" s="629"/>
      <c r="Q31" s="3"/>
    </row>
    <row r="32" spans="3:17" s="4" customFormat="1" ht="15" customHeight="1" x14ac:dyDescent="0.4">
      <c r="C32" s="629"/>
      <c r="D32" s="629"/>
      <c r="E32" s="629"/>
      <c r="F32" s="629"/>
      <c r="G32" s="629"/>
      <c r="H32" s="629"/>
      <c r="I32" s="629"/>
      <c r="J32" s="629"/>
      <c r="K32" s="629"/>
      <c r="L32" s="629"/>
      <c r="M32" s="629"/>
      <c r="N32" s="629"/>
      <c r="O32" s="629"/>
      <c r="P32" s="629"/>
      <c r="Q32" s="3"/>
    </row>
    <row r="33" spans="2:17" s="10" customFormat="1" ht="15" customHeight="1" x14ac:dyDescent="0.4">
      <c r="C33" s="629"/>
      <c r="D33" s="629"/>
      <c r="E33" s="629"/>
      <c r="F33" s="629"/>
      <c r="G33" s="629"/>
      <c r="H33" s="629"/>
      <c r="I33" s="629"/>
      <c r="J33" s="629"/>
      <c r="K33" s="629"/>
      <c r="L33" s="629"/>
      <c r="M33" s="629"/>
      <c r="N33" s="629"/>
      <c r="O33" s="629"/>
      <c r="P33" s="629"/>
      <c r="Q33" s="3"/>
    </row>
    <row r="34" spans="2:17" s="10" customFormat="1" ht="15" customHeight="1" x14ac:dyDescent="0.4">
      <c r="C34" s="629"/>
      <c r="D34" s="629"/>
      <c r="E34" s="629"/>
      <c r="F34" s="629"/>
      <c r="G34" s="629"/>
      <c r="H34" s="629"/>
      <c r="I34" s="629"/>
      <c r="J34" s="629"/>
      <c r="K34" s="629"/>
      <c r="L34" s="629"/>
      <c r="M34" s="629"/>
      <c r="N34" s="629"/>
      <c r="O34" s="629"/>
      <c r="P34" s="629"/>
      <c r="Q34" s="3"/>
    </row>
    <row r="35" spans="2:17" s="4" customFormat="1" ht="3" customHeight="1" x14ac:dyDescent="0.4">
      <c r="C35" s="629"/>
      <c r="D35" s="629"/>
      <c r="E35" s="629"/>
      <c r="F35" s="629"/>
      <c r="G35" s="629"/>
      <c r="H35" s="629"/>
      <c r="I35" s="629"/>
      <c r="J35" s="629"/>
      <c r="K35" s="629"/>
      <c r="L35" s="629"/>
      <c r="M35" s="629"/>
      <c r="N35" s="629"/>
      <c r="O35" s="629"/>
      <c r="P35" s="629"/>
      <c r="Q35" s="3"/>
    </row>
    <row r="36" spans="2:17" s="4" customFormat="1" ht="3" customHeight="1" x14ac:dyDescent="0.4">
      <c r="C36" s="629"/>
      <c r="D36" s="629"/>
      <c r="E36" s="629"/>
      <c r="F36" s="629"/>
      <c r="G36" s="629"/>
      <c r="H36" s="629"/>
      <c r="I36" s="629"/>
      <c r="J36" s="629"/>
      <c r="K36" s="629"/>
      <c r="L36" s="629"/>
      <c r="M36" s="629"/>
      <c r="N36" s="629"/>
      <c r="O36" s="629"/>
      <c r="P36" s="629"/>
      <c r="Q36" s="3"/>
    </row>
    <row r="37" spans="2:17" s="4" customFormat="1" ht="12.95" customHeight="1" x14ac:dyDescent="0.4">
      <c r="C37" s="629"/>
      <c r="D37" s="629"/>
      <c r="E37" s="629"/>
      <c r="F37" s="629"/>
      <c r="G37" s="629"/>
      <c r="H37" s="629"/>
      <c r="I37" s="629"/>
      <c r="J37" s="629"/>
      <c r="K37" s="629"/>
      <c r="L37" s="629"/>
      <c r="M37" s="629"/>
      <c r="N37" s="629"/>
      <c r="O37" s="629"/>
      <c r="P37" s="629"/>
      <c r="Q37" s="3"/>
    </row>
    <row r="38" spans="2:17" s="4" customFormat="1" ht="3" customHeight="1" x14ac:dyDescent="0.4">
      <c r="C38" s="629"/>
      <c r="D38" s="629"/>
      <c r="E38" s="629"/>
      <c r="F38" s="629"/>
      <c r="G38" s="629"/>
      <c r="H38" s="629"/>
      <c r="I38" s="629"/>
      <c r="J38" s="629"/>
      <c r="K38" s="629"/>
      <c r="L38" s="629"/>
      <c r="M38" s="629"/>
      <c r="N38" s="629"/>
      <c r="O38" s="629"/>
      <c r="P38" s="629"/>
      <c r="Q38" s="3"/>
    </row>
    <row r="39" spans="2:17" s="4" customFormat="1" ht="26.25" x14ac:dyDescent="0.4">
      <c r="C39" s="629"/>
      <c r="D39" s="629"/>
      <c r="E39" s="629"/>
      <c r="F39" s="629"/>
      <c r="G39" s="629"/>
      <c r="H39" s="629"/>
      <c r="I39" s="629"/>
      <c r="J39" s="629"/>
      <c r="K39" s="629"/>
      <c r="L39" s="629"/>
      <c r="M39" s="629"/>
      <c r="N39" s="629"/>
      <c r="O39" s="629"/>
      <c r="P39" s="629"/>
      <c r="Q39" s="3"/>
    </row>
    <row r="40" spans="2:17" s="4" customFormat="1" ht="26.25" x14ac:dyDescent="0.4">
      <c r="C40" s="629"/>
      <c r="D40" s="629"/>
      <c r="E40" s="629"/>
      <c r="F40" s="629"/>
      <c r="G40" s="629"/>
      <c r="H40" s="629"/>
      <c r="I40" s="629"/>
      <c r="J40" s="629"/>
      <c r="K40" s="629"/>
      <c r="L40" s="629"/>
      <c r="M40" s="629"/>
      <c r="N40" s="629"/>
      <c r="O40" s="629"/>
      <c r="P40" s="629"/>
      <c r="Q40" s="3"/>
    </row>
    <row r="41" spans="2:17" s="4" customFormat="1" ht="3" customHeight="1" x14ac:dyDescent="0.4">
      <c r="C41" s="629"/>
      <c r="D41" s="629"/>
      <c r="E41" s="629"/>
      <c r="F41" s="629"/>
      <c r="G41" s="629"/>
      <c r="H41" s="629"/>
      <c r="I41" s="629"/>
      <c r="J41" s="629"/>
      <c r="K41" s="629"/>
      <c r="L41" s="629"/>
      <c r="M41" s="629"/>
      <c r="N41" s="629"/>
      <c r="O41" s="629"/>
      <c r="P41" s="629"/>
      <c r="Q41" s="3"/>
    </row>
    <row r="42" spans="2:17" s="4" customFormat="1" ht="3" customHeight="1" x14ac:dyDescent="0.4">
      <c r="C42" s="629"/>
      <c r="D42" s="629"/>
      <c r="E42" s="629"/>
      <c r="F42" s="629"/>
      <c r="G42" s="629"/>
      <c r="H42" s="629"/>
      <c r="I42" s="629"/>
      <c r="J42" s="629"/>
      <c r="K42" s="629"/>
      <c r="L42" s="629"/>
      <c r="M42" s="629"/>
      <c r="N42" s="629"/>
      <c r="O42" s="629"/>
      <c r="P42" s="629"/>
      <c r="Q42" s="3"/>
    </row>
    <row r="43" spans="2:17" s="4" customFormat="1" ht="26.25" x14ac:dyDescent="0.4">
      <c r="C43" s="629"/>
      <c r="D43" s="629"/>
      <c r="E43" s="629"/>
      <c r="F43" s="629"/>
      <c r="G43" s="629"/>
      <c r="H43" s="629"/>
      <c r="I43" s="629"/>
      <c r="J43" s="629"/>
      <c r="K43" s="629"/>
      <c r="L43" s="629"/>
      <c r="M43" s="629"/>
      <c r="N43" s="629"/>
      <c r="O43" s="629"/>
      <c r="P43" s="629"/>
      <c r="Q43" s="3"/>
    </row>
    <row r="44" spans="2:17" s="4" customFormat="1" ht="26.25" x14ac:dyDescent="0.4">
      <c r="C44" s="629"/>
      <c r="D44" s="629"/>
      <c r="E44" s="629"/>
      <c r="F44" s="629"/>
      <c r="G44" s="629"/>
      <c r="H44" s="629"/>
      <c r="I44" s="629"/>
      <c r="J44" s="629"/>
      <c r="K44" s="629"/>
      <c r="L44" s="629"/>
      <c r="M44" s="629"/>
      <c r="N44" s="629"/>
      <c r="O44" s="629"/>
      <c r="P44" s="629"/>
      <c r="Q44" s="3"/>
    </row>
    <row r="45" spans="2:17" s="4" customFormat="1" ht="26.25" x14ac:dyDescent="0.4">
      <c r="C45" s="629"/>
      <c r="D45" s="629"/>
      <c r="E45" s="629"/>
      <c r="F45" s="629"/>
      <c r="G45" s="629"/>
      <c r="H45" s="629"/>
      <c r="I45" s="629"/>
      <c r="J45" s="629"/>
      <c r="K45" s="629"/>
      <c r="L45" s="629"/>
      <c r="M45" s="629"/>
      <c r="N45" s="629"/>
      <c r="O45" s="629"/>
      <c r="P45" s="629"/>
      <c r="Q45" s="3"/>
    </row>
    <row r="46" spans="2:17" s="4" customFormat="1" ht="3" customHeight="1" x14ac:dyDescent="0.4">
      <c r="C46" s="629"/>
      <c r="D46" s="629"/>
      <c r="E46" s="629"/>
      <c r="F46" s="629"/>
      <c r="G46" s="629"/>
      <c r="H46" s="629"/>
      <c r="I46" s="629"/>
      <c r="J46" s="629"/>
      <c r="K46" s="629"/>
      <c r="L46" s="629"/>
      <c r="M46" s="629"/>
      <c r="N46" s="629"/>
      <c r="O46" s="629"/>
      <c r="P46" s="629"/>
      <c r="Q46" s="3"/>
    </row>
    <row r="47" spans="2:17" s="4" customFormat="1" ht="3" customHeight="1" x14ac:dyDescent="0.4">
      <c r="C47" s="629"/>
      <c r="D47" s="629"/>
      <c r="E47" s="629"/>
      <c r="F47" s="629"/>
      <c r="G47" s="629"/>
      <c r="H47" s="629"/>
      <c r="I47" s="629"/>
      <c r="J47" s="629"/>
      <c r="K47" s="629"/>
      <c r="L47" s="629"/>
      <c r="M47" s="629"/>
      <c r="N47" s="629"/>
      <c r="O47" s="629"/>
      <c r="P47" s="629"/>
      <c r="Q47" s="3"/>
    </row>
    <row r="48" spans="2:17" s="4" customFormat="1" ht="26.25" x14ac:dyDescent="0.4">
      <c r="B48" s="49"/>
      <c r="C48" s="630"/>
      <c r="D48" s="630"/>
      <c r="E48" s="630"/>
      <c r="F48" s="630"/>
      <c r="G48" s="630"/>
      <c r="H48" s="630"/>
      <c r="I48" s="630"/>
      <c r="J48" s="630"/>
      <c r="K48" s="630"/>
      <c r="L48" s="630"/>
      <c r="M48" s="630"/>
      <c r="N48" s="630"/>
      <c r="O48" s="630"/>
      <c r="P48" s="630"/>
      <c r="Q48" s="464"/>
    </row>
    <row r="49" spans="3:17" s="4" customFormat="1" ht="26.25" x14ac:dyDescent="0.4">
      <c r="C49" s="3"/>
      <c r="D49" s="3"/>
      <c r="E49" s="3"/>
      <c r="F49" s="3"/>
      <c r="G49" s="3"/>
      <c r="H49" s="3"/>
      <c r="I49" s="3"/>
      <c r="J49" s="3"/>
      <c r="K49" s="3"/>
      <c r="L49" s="3"/>
      <c r="M49" s="3"/>
      <c r="N49" s="3"/>
      <c r="O49" s="3"/>
      <c r="P49" s="3"/>
      <c r="Q49" s="3"/>
    </row>
  </sheetData>
  <mergeCells count="1">
    <mergeCell ref="C5:P48"/>
  </mergeCells>
  <printOptions horizontalCentered="1"/>
  <pageMargins left="0.23622047244094491" right="0.23622047244094491" top="0.35433070866141736" bottom="0.51181102362204722" header="0.23622047244094491" footer="0.23622047244094491"/>
  <pageSetup scale="83" orientation="landscape" r:id="rId1"/>
  <headerFooter>
    <oddFooter>&amp;CPage &amp;P of &amp;N&amp;R&amp;D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231BF-3DEC-46E9-B325-08AD904A1AD1}">
  <dimension ref="A1:Q48"/>
  <sheetViews>
    <sheetView showGridLines="0" view="pageBreakPreview" zoomScale="115" zoomScaleNormal="100" zoomScaleSheetLayoutView="115" workbookViewId="0"/>
  </sheetViews>
  <sheetFormatPr defaultRowHeight="15" x14ac:dyDescent="0.25"/>
  <cols>
    <col min="1" max="1" width="2.5703125" customWidth="1"/>
    <col min="2" max="2" width="5.5703125" customWidth="1"/>
    <col min="3" max="3" width="2.140625" customWidth="1"/>
    <col min="4" max="4" width="13.42578125" customWidth="1"/>
    <col min="5" max="14" width="10.42578125" customWidth="1"/>
    <col min="15" max="15" width="5.5703125" customWidth="1"/>
  </cols>
  <sheetData>
    <row r="1" spans="2:17" s="54" customFormat="1" ht="22.5" customHeight="1" x14ac:dyDescent="0.35">
      <c r="B1" s="55" t="str">
        <f>Summary!B1</f>
        <v>McDonald's Corporation</v>
      </c>
      <c r="C1" s="56"/>
      <c r="D1" s="57"/>
      <c r="E1" s="57"/>
      <c r="F1" s="57"/>
      <c r="G1" s="57"/>
      <c r="H1" s="57"/>
      <c r="I1" s="57"/>
      <c r="J1" s="57"/>
      <c r="K1" s="57"/>
      <c r="L1" s="57"/>
      <c r="M1" s="57"/>
      <c r="N1" s="57"/>
      <c r="O1" s="57"/>
    </row>
    <row r="2" spans="2:17" s="54" customFormat="1" ht="18.75" customHeight="1" x14ac:dyDescent="0.25">
      <c r="B2" s="58" t="s">
        <v>267</v>
      </c>
      <c r="C2" s="58"/>
      <c r="D2" s="57"/>
      <c r="E2" s="57"/>
      <c r="F2" s="57"/>
      <c r="G2" s="57"/>
      <c r="H2" s="57"/>
      <c r="I2" s="57"/>
      <c r="J2" s="57"/>
      <c r="K2" s="57"/>
      <c r="L2" s="57"/>
      <c r="M2" s="57"/>
      <c r="N2" s="57"/>
      <c r="O2" s="57"/>
    </row>
    <row r="3" spans="2:17" s="54" customFormat="1" ht="3" customHeight="1" thickBot="1" x14ac:dyDescent="0.3">
      <c r="B3" s="59"/>
      <c r="C3" s="59"/>
      <c r="D3" s="60"/>
      <c r="E3" s="60"/>
      <c r="F3" s="60"/>
      <c r="G3" s="60"/>
      <c r="H3" s="60"/>
      <c r="I3" s="60"/>
      <c r="J3" s="60"/>
      <c r="K3" s="60"/>
      <c r="L3" s="60"/>
      <c r="M3" s="60"/>
      <c r="N3" s="60"/>
      <c r="O3" s="60"/>
    </row>
    <row r="4" spans="2:17" s="54" customFormat="1" ht="12" customHeight="1" x14ac:dyDescent="0.25"/>
    <row r="5" spans="2:17" s="54" customFormat="1" ht="15.95" customHeight="1" x14ac:dyDescent="0.25">
      <c r="C5" s="472" t="s">
        <v>266</v>
      </c>
      <c r="D5" s="473"/>
      <c r="E5" s="473"/>
      <c r="F5" s="473"/>
      <c r="G5" s="473"/>
      <c r="H5" s="473"/>
      <c r="I5" s="473"/>
      <c r="J5" s="473"/>
      <c r="K5" s="473"/>
      <c r="L5" s="473"/>
      <c r="M5" s="473"/>
      <c r="N5" s="474"/>
    </row>
    <row r="6" spans="2:17" s="54" customFormat="1" ht="3" customHeight="1" x14ac:dyDescent="0.25">
      <c r="C6" s="475"/>
      <c r="D6" s="476"/>
      <c r="E6" s="476"/>
      <c r="F6" s="476"/>
      <c r="G6" s="476"/>
      <c r="H6" s="476"/>
      <c r="I6" s="476"/>
      <c r="J6" s="476"/>
      <c r="K6" s="476"/>
      <c r="L6" s="476"/>
      <c r="M6" s="476"/>
      <c r="N6" s="477"/>
    </row>
    <row r="7" spans="2:17" s="54" customFormat="1" ht="3" customHeight="1" x14ac:dyDescent="0.25">
      <c r="C7" s="478"/>
      <c r="D7" s="479"/>
      <c r="E7" s="479"/>
      <c r="F7" s="479"/>
      <c r="G7" s="479"/>
      <c r="H7" s="479"/>
      <c r="I7" s="479"/>
      <c r="J7" s="479"/>
      <c r="K7" s="479"/>
      <c r="L7" s="479"/>
      <c r="M7" s="479"/>
      <c r="N7" s="480"/>
    </row>
    <row r="8" spans="2:17" s="54" customFormat="1" ht="14.1" customHeight="1" x14ac:dyDescent="0.25">
      <c r="Q8" s="367"/>
    </row>
    <row r="9" spans="2:17" s="54" customFormat="1" ht="14.1" customHeight="1" x14ac:dyDescent="0.25">
      <c r="C9" s="631" t="s">
        <v>283</v>
      </c>
      <c r="D9" s="632"/>
      <c r="E9" s="632"/>
      <c r="F9" s="632"/>
      <c r="G9" s="632"/>
      <c r="H9" s="632"/>
      <c r="I9" s="632"/>
      <c r="J9" s="632"/>
      <c r="K9" s="632"/>
      <c r="L9" s="632"/>
      <c r="M9" s="632"/>
      <c r="N9" s="632"/>
    </row>
    <row r="10" spans="2:17" s="54" customFormat="1" ht="14.1" customHeight="1" x14ac:dyDescent="0.25">
      <c r="C10" s="632"/>
      <c r="D10" s="632"/>
      <c r="E10" s="632"/>
      <c r="F10" s="632"/>
      <c r="G10" s="632"/>
      <c r="H10" s="632"/>
      <c r="I10" s="632"/>
      <c r="J10" s="632"/>
      <c r="K10" s="632"/>
      <c r="L10" s="632"/>
      <c r="M10" s="632"/>
      <c r="N10" s="632"/>
    </row>
    <row r="11" spans="2:17" s="54" customFormat="1" ht="14.1" customHeight="1" x14ac:dyDescent="0.25">
      <c r="C11" s="632"/>
      <c r="D11" s="632"/>
      <c r="E11" s="632"/>
      <c r="F11" s="632"/>
      <c r="G11" s="632"/>
      <c r="H11" s="632"/>
      <c r="I11" s="632"/>
      <c r="J11" s="632"/>
      <c r="K11" s="632"/>
      <c r="L11" s="632"/>
      <c r="M11" s="632"/>
      <c r="N11" s="632"/>
    </row>
    <row r="12" spans="2:17" s="54" customFormat="1" ht="14.1" customHeight="1" x14ac:dyDescent="0.25">
      <c r="C12" s="632"/>
      <c r="D12" s="632"/>
      <c r="E12" s="632"/>
      <c r="F12" s="632"/>
      <c r="G12" s="632"/>
      <c r="H12" s="632"/>
      <c r="I12" s="632"/>
      <c r="J12" s="632"/>
      <c r="K12" s="632"/>
      <c r="L12" s="632"/>
      <c r="M12" s="632"/>
      <c r="N12" s="632"/>
    </row>
    <row r="13" spans="2:17" s="76" customFormat="1" ht="14.1" customHeight="1" x14ac:dyDescent="0.25">
      <c r="C13" s="632"/>
      <c r="D13" s="632"/>
      <c r="E13" s="632"/>
      <c r="F13" s="632"/>
      <c r="G13" s="632"/>
      <c r="H13" s="632"/>
      <c r="I13" s="632"/>
      <c r="J13" s="632"/>
      <c r="K13" s="632"/>
      <c r="L13" s="632"/>
      <c r="M13" s="632"/>
      <c r="N13" s="632"/>
    </row>
    <row r="14" spans="2:17" s="76" customFormat="1" ht="14.1" customHeight="1" x14ac:dyDescent="0.25">
      <c r="C14" s="632"/>
      <c r="D14" s="632"/>
      <c r="E14" s="632"/>
      <c r="F14" s="632"/>
      <c r="G14" s="632"/>
      <c r="H14" s="632"/>
      <c r="I14" s="632"/>
      <c r="J14" s="632"/>
      <c r="K14" s="632"/>
      <c r="L14" s="632"/>
      <c r="M14" s="632"/>
      <c r="N14" s="632"/>
    </row>
    <row r="15" spans="2:17" s="76" customFormat="1" ht="14.1" customHeight="1" x14ac:dyDescent="0.25">
      <c r="C15" s="632"/>
      <c r="D15" s="632"/>
      <c r="E15" s="632"/>
      <c r="F15" s="632"/>
      <c r="G15" s="632"/>
      <c r="H15" s="632"/>
      <c r="I15" s="632"/>
      <c r="J15" s="632"/>
      <c r="K15" s="632"/>
      <c r="L15" s="632"/>
      <c r="M15" s="632"/>
      <c r="N15" s="632"/>
    </row>
    <row r="16" spans="2:17" s="76" customFormat="1" ht="14.1" customHeight="1" x14ac:dyDescent="0.25">
      <c r="C16" s="632"/>
      <c r="D16" s="632"/>
      <c r="E16" s="632"/>
      <c r="F16" s="632"/>
      <c r="G16" s="632"/>
      <c r="H16" s="632"/>
      <c r="I16" s="632"/>
      <c r="J16" s="632"/>
      <c r="K16" s="632"/>
      <c r="L16" s="632"/>
      <c r="M16" s="632"/>
      <c r="N16" s="632"/>
    </row>
    <row r="17" spans="3:15" s="76" customFormat="1" ht="14.1" customHeight="1" x14ac:dyDescent="0.25">
      <c r="C17" s="632"/>
      <c r="D17" s="632"/>
      <c r="E17" s="632"/>
      <c r="F17" s="632"/>
      <c r="G17" s="632"/>
      <c r="H17" s="632"/>
      <c r="I17" s="632"/>
      <c r="J17" s="632"/>
      <c r="K17" s="632"/>
      <c r="L17" s="632"/>
      <c r="M17" s="632"/>
      <c r="N17" s="632"/>
    </row>
    <row r="18" spans="3:15" s="76" customFormat="1" ht="14.1" customHeight="1" x14ac:dyDescent="0.25">
      <c r="C18" s="632"/>
      <c r="D18" s="632"/>
      <c r="E18" s="632"/>
      <c r="F18" s="632"/>
      <c r="G18" s="632"/>
      <c r="H18" s="632"/>
      <c r="I18" s="632"/>
      <c r="J18" s="632"/>
      <c r="K18" s="632"/>
      <c r="L18" s="632"/>
      <c r="M18" s="632"/>
      <c r="N18" s="632"/>
    </row>
    <row r="19" spans="3:15" s="76" customFormat="1" ht="14.1" customHeight="1" x14ac:dyDescent="0.25">
      <c r="C19" s="632"/>
      <c r="D19" s="632"/>
      <c r="E19" s="632"/>
      <c r="F19" s="632"/>
      <c r="G19" s="632"/>
      <c r="H19" s="632"/>
      <c r="I19" s="632"/>
      <c r="J19" s="632"/>
      <c r="K19" s="632"/>
      <c r="L19" s="632"/>
      <c r="M19" s="632"/>
      <c r="N19" s="632"/>
    </row>
    <row r="20" spans="3:15" s="76" customFormat="1" ht="14.1" customHeight="1" x14ac:dyDescent="0.25">
      <c r="C20" s="632"/>
      <c r="D20" s="632"/>
      <c r="E20" s="632"/>
      <c r="F20" s="632"/>
      <c r="G20" s="632"/>
      <c r="H20" s="632"/>
      <c r="I20" s="632"/>
      <c r="J20" s="632"/>
      <c r="K20" s="632"/>
      <c r="L20" s="632"/>
      <c r="M20" s="632"/>
      <c r="N20" s="632"/>
    </row>
    <row r="21" spans="3:15" s="76" customFormat="1" ht="14.1" customHeight="1" x14ac:dyDescent="0.25">
      <c r="C21" s="632"/>
      <c r="D21" s="632"/>
      <c r="E21" s="632"/>
      <c r="F21" s="632"/>
      <c r="G21" s="632"/>
      <c r="H21" s="632"/>
      <c r="I21" s="632"/>
      <c r="J21" s="632"/>
      <c r="K21" s="632"/>
      <c r="L21" s="632"/>
      <c r="M21" s="632"/>
      <c r="N21" s="632"/>
    </row>
    <row r="22" spans="3:15" s="54" customFormat="1" ht="14.1" customHeight="1" x14ac:dyDescent="0.25">
      <c r="C22" s="632"/>
      <c r="D22" s="632"/>
      <c r="E22" s="632"/>
      <c r="F22" s="632"/>
      <c r="G22" s="632"/>
      <c r="H22" s="632"/>
      <c r="I22" s="632"/>
      <c r="J22" s="632"/>
      <c r="K22" s="632"/>
      <c r="L22" s="632"/>
      <c r="M22" s="632"/>
      <c r="N22" s="632"/>
    </row>
    <row r="23" spans="3:15" s="54" customFormat="1" ht="14.1" customHeight="1" x14ac:dyDescent="0.25">
      <c r="C23" s="632"/>
      <c r="D23" s="632"/>
      <c r="E23" s="632"/>
      <c r="F23" s="632"/>
      <c r="G23" s="632"/>
      <c r="H23" s="632"/>
      <c r="I23" s="632"/>
      <c r="J23" s="632"/>
      <c r="K23" s="632"/>
      <c r="L23" s="632"/>
      <c r="M23" s="632"/>
      <c r="N23" s="632"/>
    </row>
    <row r="24" spans="3:15" s="54" customFormat="1" ht="14.1" customHeight="1" x14ac:dyDescent="0.25">
      <c r="C24" s="632"/>
      <c r="D24" s="632"/>
      <c r="E24" s="632"/>
      <c r="F24" s="632"/>
      <c r="G24" s="632"/>
      <c r="H24" s="632"/>
      <c r="I24" s="632"/>
      <c r="J24" s="632"/>
      <c r="K24" s="632"/>
      <c r="L24" s="632"/>
      <c r="M24" s="632"/>
      <c r="N24" s="632"/>
    </row>
    <row r="25" spans="3:15" s="79" customFormat="1" ht="14.1" customHeight="1" x14ac:dyDescent="0.25">
      <c r="C25" s="632"/>
      <c r="D25" s="632"/>
      <c r="E25" s="632"/>
      <c r="F25" s="632"/>
      <c r="G25" s="632"/>
      <c r="H25" s="632"/>
      <c r="I25" s="632"/>
      <c r="J25" s="632"/>
      <c r="K25" s="632"/>
      <c r="L25" s="632"/>
      <c r="M25" s="632"/>
      <c r="N25" s="632"/>
      <c r="O25" s="54"/>
    </row>
    <row r="26" spans="3:15" s="54" customFormat="1" ht="14.1" customHeight="1" x14ac:dyDescent="0.25">
      <c r="C26" s="632"/>
      <c r="D26" s="632"/>
      <c r="E26" s="632"/>
      <c r="F26" s="632"/>
      <c r="G26" s="632"/>
      <c r="H26" s="632"/>
      <c r="I26" s="632"/>
      <c r="J26" s="632"/>
      <c r="K26" s="632"/>
      <c r="L26" s="632"/>
      <c r="M26" s="632"/>
      <c r="N26" s="632"/>
    </row>
    <row r="27" spans="3:15" s="54" customFormat="1" ht="14.1" customHeight="1" x14ac:dyDescent="0.25">
      <c r="C27" s="632"/>
      <c r="D27" s="632"/>
      <c r="E27" s="632"/>
      <c r="F27" s="632"/>
      <c r="G27" s="632"/>
      <c r="H27" s="632"/>
      <c r="I27" s="632"/>
      <c r="J27" s="632"/>
      <c r="K27" s="632"/>
      <c r="L27" s="632"/>
      <c r="M27" s="632"/>
      <c r="N27" s="632"/>
    </row>
    <row r="28" spans="3:15" s="54" customFormat="1" ht="14.1" customHeight="1" x14ac:dyDescent="0.25">
      <c r="C28" s="632"/>
      <c r="D28" s="632"/>
      <c r="E28" s="632"/>
      <c r="F28" s="632"/>
      <c r="G28" s="632"/>
      <c r="H28" s="632"/>
      <c r="I28" s="632"/>
      <c r="J28" s="632"/>
      <c r="K28" s="632"/>
      <c r="L28" s="632"/>
      <c r="M28" s="632"/>
      <c r="N28" s="632"/>
    </row>
    <row r="29" spans="3:15" s="54" customFormat="1" ht="14.1" customHeight="1" x14ac:dyDescent="0.25">
      <c r="C29" s="632"/>
      <c r="D29" s="632"/>
      <c r="E29" s="632"/>
      <c r="F29" s="632"/>
      <c r="G29" s="632"/>
      <c r="H29" s="632"/>
      <c r="I29" s="632"/>
      <c r="J29" s="632"/>
      <c r="K29" s="632"/>
      <c r="L29" s="632"/>
      <c r="M29" s="632"/>
      <c r="N29" s="632"/>
    </row>
    <row r="30" spans="3:15" s="76" customFormat="1" ht="14.1" customHeight="1" x14ac:dyDescent="0.25">
      <c r="C30" s="632"/>
      <c r="D30" s="632"/>
      <c r="E30" s="632"/>
      <c r="F30" s="632"/>
      <c r="G30" s="632"/>
      <c r="H30" s="632"/>
      <c r="I30" s="632"/>
      <c r="J30" s="632"/>
      <c r="K30" s="632"/>
      <c r="L30" s="632"/>
      <c r="M30" s="632"/>
      <c r="N30" s="632"/>
    </row>
    <row r="31" spans="3:15" s="54" customFormat="1" ht="14.1" customHeight="1" x14ac:dyDescent="0.25">
      <c r="C31" s="632"/>
      <c r="D31" s="632"/>
      <c r="E31" s="632"/>
      <c r="F31" s="632"/>
      <c r="G31" s="632"/>
      <c r="H31" s="632"/>
      <c r="I31" s="632"/>
      <c r="J31" s="632"/>
      <c r="K31" s="632"/>
      <c r="L31" s="632"/>
      <c r="M31" s="632"/>
      <c r="N31" s="632"/>
    </row>
    <row r="32" spans="3:15" s="54" customFormat="1" ht="14.1" customHeight="1" x14ac:dyDescent="0.25">
      <c r="C32" s="632"/>
      <c r="D32" s="632"/>
      <c r="E32" s="632"/>
      <c r="F32" s="632"/>
      <c r="G32" s="632"/>
      <c r="H32" s="632"/>
      <c r="I32" s="632"/>
      <c r="J32" s="632"/>
      <c r="K32" s="632"/>
      <c r="L32" s="632"/>
      <c r="M32" s="632"/>
      <c r="N32" s="632"/>
    </row>
    <row r="33" spans="1:15" s="54" customFormat="1" ht="14.1" customHeight="1" x14ac:dyDescent="0.25">
      <c r="C33" s="632"/>
      <c r="D33" s="632"/>
      <c r="E33" s="632"/>
      <c r="F33" s="632"/>
      <c r="G33" s="632"/>
      <c r="H33" s="632"/>
      <c r="I33" s="632"/>
      <c r="J33" s="632"/>
      <c r="K33" s="632"/>
      <c r="L33" s="632"/>
      <c r="M33" s="632"/>
      <c r="N33" s="632"/>
    </row>
    <row r="34" spans="1:15" s="54" customFormat="1" ht="14.1" customHeight="1" x14ac:dyDescent="0.25">
      <c r="C34" s="632"/>
      <c r="D34" s="632"/>
      <c r="E34" s="632"/>
      <c r="F34" s="632"/>
      <c r="G34" s="632"/>
      <c r="H34" s="632"/>
      <c r="I34" s="632"/>
      <c r="J34" s="632"/>
      <c r="K34" s="632"/>
      <c r="L34" s="632"/>
      <c r="M34" s="632"/>
      <c r="N34" s="632"/>
    </row>
    <row r="35" spans="1:15" s="54" customFormat="1" ht="14.1" customHeight="1" x14ac:dyDescent="0.25">
      <c r="C35" s="632"/>
      <c r="D35" s="632"/>
      <c r="E35" s="632"/>
      <c r="F35" s="632"/>
      <c r="G35" s="632"/>
      <c r="H35" s="632"/>
      <c r="I35" s="632"/>
      <c r="J35" s="632"/>
      <c r="K35" s="632"/>
      <c r="L35" s="632"/>
      <c r="M35" s="632"/>
      <c r="N35" s="632"/>
    </row>
    <row r="36" spans="1:15" s="54" customFormat="1" ht="14.1" customHeight="1" x14ac:dyDescent="0.25">
      <c r="C36" s="632"/>
      <c r="D36" s="632"/>
      <c r="E36" s="632"/>
      <c r="F36" s="632"/>
      <c r="G36" s="632"/>
      <c r="H36" s="632"/>
      <c r="I36" s="632"/>
      <c r="J36" s="632"/>
      <c r="K36" s="632"/>
      <c r="L36" s="632"/>
      <c r="M36" s="632"/>
      <c r="N36" s="632"/>
    </row>
    <row r="37" spans="1:15" s="54" customFormat="1" ht="14.1" customHeight="1" x14ac:dyDescent="0.25">
      <c r="C37" s="632"/>
      <c r="D37" s="632"/>
      <c r="E37" s="632"/>
      <c r="F37" s="632"/>
      <c r="G37" s="632"/>
      <c r="H37" s="632"/>
      <c r="I37" s="632"/>
      <c r="J37" s="632"/>
      <c r="K37" s="632"/>
      <c r="L37" s="632"/>
      <c r="M37" s="632"/>
      <c r="N37" s="632"/>
    </row>
    <row r="38" spans="1:15" s="54" customFormat="1" ht="14.1" customHeight="1" x14ac:dyDescent="0.25">
      <c r="C38" s="632"/>
      <c r="D38" s="632"/>
      <c r="E38" s="632"/>
      <c r="F38" s="632"/>
      <c r="G38" s="632"/>
      <c r="H38" s="632"/>
      <c r="I38" s="632"/>
      <c r="J38" s="632"/>
      <c r="K38" s="632"/>
      <c r="L38" s="632"/>
      <c r="M38" s="632"/>
      <c r="N38" s="632"/>
    </row>
    <row r="39" spans="1:15" s="54" customFormat="1" ht="14.1" customHeight="1" x14ac:dyDescent="0.25">
      <c r="C39" s="632"/>
      <c r="D39" s="632"/>
      <c r="E39" s="632"/>
      <c r="F39" s="632"/>
      <c r="G39" s="632"/>
      <c r="H39" s="632"/>
      <c r="I39" s="632"/>
      <c r="J39" s="632"/>
      <c r="K39" s="632"/>
      <c r="L39" s="632"/>
      <c r="M39" s="632"/>
      <c r="N39" s="632"/>
    </row>
    <row r="40" spans="1:15" s="54" customFormat="1" ht="14.1" customHeight="1" x14ac:dyDescent="0.25">
      <c r="C40" s="632"/>
      <c r="D40" s="632"/>
      <c r="E40" s="632"/>
      <c r="F40" s="632"/>
      <c r="G40" s="632"/>
      <c r="H40" s="632"/>
      <c r="I40" s="632"/>
      <c r="J40" s="632"/>
      <c r="K40" s="632"/>
      <c r="L40" s="632"/>
      <c r="M40" s="632"/>
      <c r="N40" s="632"/>
    </row>
    <row r="41" spans="1:15" s="54" customFormat="1" ht="14.1" customHeight="1" x14ac:dyDescent="0.25">
      <c r="C41" s="632"/>
      <c r="D41" s="632"/>
      <c r="E41" s="632"/>
      <c r="F41" s="632"/>
      <c r="G41" s="632"/>
      <c r="H41" s="632"/>
      <c r="I41" s="632"/>
      <c r="J41" s="632"/>
      <c r="K41" s="632"/>
      <c r="L41" s="632"/>
      <c r="M41" s="632"/>
      <c r="N41" s="632"/>
    </row>
    <row r="42" spans="1:15" s="76" customFormat="1" ht="14.1" customHeight="1" x14ac:dyDescent="0.25">
      <c r="C42" s="632"/>
      <c r="D42" s="632"/>
      <c r="E42" s="632"/>
      <c r="F42" s="632"/>
      <c r="G42" s="632"/>
      <c r="H42" s="632"/>
      <c r="I42" s="632"/>
      <c r="J42" s="632"/>
      <c r="K42" s="632"/>
      <c r="L42" s="632"/>
      <c r="M42" s="632"/>
      <c r="N42" s="632"/>
    </row>
    <row r="43" spans="1:15" s="54" customFormat="1" ht="14.1" customHeight="1" x14ac:dyDescent="0.25">
      <c r="C43" s="632"/>
      <c r="D43" s="632"/>
      <c r="E43" s="632"/>
      <c r="F43" s="632"/>
      <c r="G43" s="632"/>
      <c r="H43" s="632"/>
      <c r="I43" s="632"/>
      <c r="J43" s="632"/>
      <c r="K43" s="632"/>
      <c r="L43" s="632"/>
      <c r="M43" s="632"/>
      <c r="N43" s="632"/>
    </row>
    <row r="44" spans="1:15" s="54" customFormat="1" ht="14.1" customHeight="1" x14ac:dyDescent="0.25">
      <c r="C44" s="632"/>
      <c r="D44" s="632"/>
      <c r="E44" s="632"/>
      <c r="F44" s="632"/>
      <c r="G44" s="632"/>
      <c r="H44" s="632"/>
      <c r="I44" s="632"/>
      <c r="J44" s="632"/>
      <c r="K44" s="632"/>
      <c r="L44" s="632"/>
      <c r="M44" s="632"/>
      <c r="N44" s="632"/>
    </row>
    <row r="45" spans="1:15" s="54" customFormat="1" ht="15" customHeight="1" x14ac:dyDescent="0.25">
      <c r="C45" s="632"/>
      <c r="D45" s="632"/>
      <c r="E45" s="632"/>
      <c r="F45" s="632"/>
      <c r="G45" s="632"/>
      <c r="H45" s="632"/>
      <c r="I45" s="632"/>
      <c r="J45" s="632"/>
      <c r="K45" s="632"/>
      <c r="L45" s="632"/>
      <c r="M45" s="632"/>
      <c r="N45" s="632"/>
    </row>
    <row r="46" spans="1:15" s="54" customFormat="1" ht="14.1" customHeight="1" x14ac:dyDescent="0.25">
      <c r="B46" s="97"/>
      <c r="C46" s="97"/>
      <c r="D46" s="98"/>
      <c r="E46" s="99"/>
      <c r="F46" s="99"/>
      <c r="G46" s="99"/>
      <c r="H46" s="99"/>
      <c r="I46" s="97"/>
      <c r="J46" s="97"/>
      <c r="K46" s="97"/>
      <c r="L46" s="97"/>
      <c r="M46" s="97"/>
      <c r="N46" s="97"/>
      <c r="O46" s="97"/>
    </row>
    <row r="47" spans="1:15" s="54" customFormat="1" ht="14.1" customHeight="1" x14ac:dyDescent="0.25">
      <c r="C47" s="100"/>
      <c r="D47" s="92"/>
      <c r="H47" s="101"/>
    </row>
    <row r="48" spans="1:15" x14ac:dyDescent="0.25">
      <c r="A48" s="54"/>
      <c r="B48" s="54"/>
      <c r="C48" s="54"/>
      <c r="D48" s="102"/>
      <c r="E48" s="54"/>
      <c r="F48" s="54"/>
      <c r="G48" s="54"/>
      <c r="H48" s="54"/>
      <c r="I48" s="54"/>
      <c r="J48" s="54"/>
      <c r="K48" s="54"/>
      <c r="L48" s="54"/>
      <c r="M48" s="54"/>
      <c r="N48" s="54"/>
      <c r="O48" s="54"/>
    </row>
  </sheetData>
  <mergeCells count="1">
    <mergeCell ref="C9:N45"/>
  </mergeCells>
  <printOptions horizontalCentered="1"/>
  <pageMargins left="0.23622047244094491" right="0.23622047244094491" top="0.23622047244094491" bottom="0.51181102362204722" header="0.23622047244094491" footer="0.23622047244094491"/>
  <pageSetup scale="74" orientation="landscape" r:id="rId1"/>
  <headerFooter>
    <oddFooter>&amp;CPage &amp;P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975A-B551-4031-92B3-61B76ADF967A}">
  <dimension ref="B1:AG67"/>
  <sheetViews>
    <sheetView showGridLines="0" view="pageBreakPreview" zoomScaleNormal="100" zoomScaleSheetLayoutView="100" workbookViewId="0"/>
  </sheetViews>
  <sheetFormatPr defaultRowHeight="15" x14ac:dyDescent="0.25"/>
  <cols>
    <col min="1" max="1" width="2.5703125" customWidth="1"/>
    <col min="2" max="2" width="4.7109375" customWidth="1"/>
    <col min="3" max="4" width="1.7109375" customWidth="1"/>
    <col min="5" max="5" width="20.7109375" customWidth="1"/>
    <col min="6" max="6" width="9.28515625" customWidth="1"/>
    <col min="7" max="7" width="1.85546875" customWidth="1"/>
    <col min="8" max="15" width="9.28515625" customWidth="1"/>
    <col min="16" max="16" width="1.7109375" customWidth="1"/>
    <col min="17" max="17" width="4.7109375" customWidth="1"/>
    <col min="18" max="19" width="2.7109375" customWidth="1"/>
    <col min="20" max="21" width="1.7109375" customWidth="1"/>
    <col min="22" max="22" width="20.7109375" customWidth="1"/>
    <col min="23" max="31" width="9.28515625" customWidth="1"/>
    <col min="32" max="32" width="1.7109375" customWidth="1"/>
  </cols>
  <sheetData>
    <row r="1" spans="2:32" s="4" customFormat="1" ht="22.7" customHeight="1" x14ac:dyDescent="0.4">
      <c r="B1" s="1" t="str">
        <f>Cover!C12</f>
        <v>McDonald's Corporation</v>
      </c>
      <c r="C1" s="2"/>
      <c r="D1" s="2"/>
      <c r="E1" s="2"/>
      <c r="F1" s="2"/>
      <c r="G1" s="2"/>
      <c r="H1" s="3"/>
      <c r="I1" s="3"/>
      <c r="J1" s="3"/>
      <c r="K1" s="3"/>
      <c r="L1" s="3"/>
      <c r="M1" s="3"/>
      <c r="N1" s="3"/>
      <c r="O1" s="3"/>
      <c r="P1" s="3"/>
      <c r="Q1" s="3"/>
      <c r="T1" s="2"/>
      <c r="U1" s="2"/>
      <c r="V1" s="2"/>
      <c r="W1" s="2"/>
      <c r="X1" s="3"/>
      <c r="Y1" s="3"/>
      <c r="Z1" s="3"/>
      <c r="AA1" s="3"/>
      <c r="AB1" s="3"/>
      <c r="AC1" s="3"/>
      <c r="AD1" s="3"/>
      <c r="AE1" s="3"/>
    </row>
    <row r="2" spans="2:32" s="4" customFormat="1" ht="18" x14ac:dyDescent="0.25">
      <c r="B2" s="5" t="s">
        <v>0</v>
      </c>
      <c r="C2" s="5"/>
      <c r="D2" s="5"/>
      <c r="E2" s="5"/>
      <c r="F2" s="5"/>
      <c r="G2" s="5"/>
      <c r="H2" s="5"/>
      <c r="I2" s="5"/>
      <c r="J2" s="5"/>
      <c r="K2" s="5"/>
      <c r="L2" s="5"/>
      <c r="M2" s="5"/>
      <c r="N2" s="5"/>
      <c r="O2" s="5"/>
      <c r="P2" s="5"/>
      <c r="Q2" s="5"/>
      <c r="T2" s="5"/>
      <c r="U2" s="5"/>
      <c r="V2" s="5"/>
      <c r="W2" s="5"/>
      <c r="X2" s="5"/>
      <c r="Y2" s="5"/>
      <c r="Z2" s="5"/>
      <c r="AA2" s="5"/>
      <c r="AB2" s="5"/>
      <c r="AC2" s="5"/>
      <c r="AD2" s="5"/>
      <c r="AE2" s="5"/>
    </row>
    <row r="3" spans="2:32" s="4" customFormat="1" ht="3" customHeight="1" thickBot="1" x14ac:dyDescent="0.25">
      <c r="B3" s="6"/>
      <c r="C3" s="6"/>
      <c r="D3" s="6"/>
      <c r="E3" s="6"/>
      <c r="F3" s="6"/>
      <c r="G3" s="6"/>
      <c r="H3" s="6"/>
      <c r="I3" s="6"/>
      <c r="J3" s="6"/>
      <c r="K3" s="6"/>
      <c r="L3" s="6"/>
      <c r="M3" s="6"/>
      <c r="N3" s="6"/>
      <c r="O3" s="6"/>
      <c r="P3" s="6"/>
      <c r="Q3" s="6"/>
    </row>
    <row r="4" spans="2:32" s="4" customFormat="1" ht="4.5" customHeight="1" x14ac:dyDescent="0.3">
      <c r="C4" s="7"/>
      <c r="D4" s="7"/>
      <c r="E4" s="7"/>
      <c r="F4" s="7"/>
      <c r="G4" s="7"/>
      <c r="H4" s="7"/>
      <c r="I4" s="7"/>
      <c r="J4" s="7"/>
      <c r="K4" s="7"/>
      <c r="L4" s="7"/>
      <c r="M4" s="7"/>
      <c r="N4" s="7"/>
      <c r="O4" s="7"/>
      <c r="P4" s="7"/>
      <c r="T4" s="7"/>
      <c r="U4" s="7"/>
      <c r="V4" s="7"/>
      <c r="W4" s="7"/>
      <c r="X4" s="7"/>
      <c r="Y4" s="7"/>
      <c r="Z4" s="7"/>
      <c r="AA4" s="7"/>
      <c r="AB4" s="7"/>
      <c r="AC4" s="7"/>
      <c r="AD4" s="7"/>
      <c r="AE4" s="7"/>
    </row>
    <row r="5" spans="2:32" s="4" customFormat="1" ht="15" customHeight="1" x14ac:dyDescent="0.3">
      <c r="C5" s="8" t="s">
        <v>1</v>
      </c>
      <c r="D5" s="9"/>
      <c r="E5" s="9"/>
      <c r="F5" s="9"/>
      <c r="G5" s="9"/>
      <c r="H5" s="7"/>
      <c r="I5" s="7"/>
      <c r="J5" s="7"/>
      <c r="K5" s="7"/>
      <c r="L5" s="7"/>
      <c r="M5" s="7"/>
      <c r="N5" s="7"/>
      <c r="O5" s="7"/>
      <c r="P5" s="7"/>
      <c r="T5" s="8" t="str">
        <f>"SUMMMARY VALUES - "&amp;UPPER(CHOOSE(Scenarios!$D$6,Scenarios!B14,Scenarios!B15,Scenarios!B16))</f>
        <v xml:space="preserve">SUMMMARY VALUES - </v>
      </c>
      <c r="U5" s="9"/>
      <c r="V5" s="9"/>
      <c r="W5" s="9"/>
      <c r="X5" s="7"/>
      <c r="Y5" s="7"/>
      <c r="Z5" s="7"/>
      <c r="AA5" s="7"/>
      <c r="AB5" s="7"/>
      <c r="AC5" s="7"/>
      <c r="AD5" s="7"/>
      <c r="AE5" s="7"/>
    </row>
    <row r="6" spans="2:32" s="10" customFormat="1" ht="15" customHeight="1" x14ac:dyDescent="0.25">
      <c r="C6" s="481"/>
      <c r="D6" s="482"/>
      <c r="E6" s="482"/>
      <c r="F6" s="482"/>
      <c r="G6" s="482"/>
      <c r="H6" s="483"/>
      <c r="I6" s="483"/>
      <c r="J6" s="483"/>
      <c r="K6" s="484"/>
      <c r="L6" s="485" t="s">
        <v>2</v>
      </c>
      <c r="M6" s="486"/>
      <c r="N6" s="486"/>
      <c r="O6" s="486"/>
      <c r="P6" s="487"/>
      <c r="T6" s="11"/>
      <c r="U6" s="12"/>
      <c r="V6" s="12"/>
      <c r="W6" s="12"/>
      <c r="X6" s="12"/>
      <c r="Y6" s="12"/>
      <c r="Z6" s="12"/>
      <c r="AA6" s="12"/>
      <c r="AB6" s="13" t="s">
        <v>2</v>
      </c>
      <c r="AC6" s="14"/>
      <c r="AD6" s="14"/>
      <c r="AE6" s="14"/>
      <c r="AF6" s="15"/>
    </row>
    <row r="7" spans="2:32" s="10" customFormat="1" ht="15" customHeight="1" x14ac:dyDescent="0.25">
      <c r="C7" s="488"/>
      <c r="D7" s="489" t="s">
        <v>3</v>
      </c>
      <c r="E7" s="490"/>
      <c r="F7" s="489" t="s">
        <v>4</v>
      </c>
      <c r="G7" s="490"/>
      <c r="H7" s="491"/>
      <c r="I7" s="491">
        <f t="shared" ref="I7:O7" si="0">Y7</f>
        <v>2021</v>
      </c>
      <c r="J7" s="491">
        <f t="shared" si="0"/>
        <v>2022</v>
      </c>
      <c r="K7" s="492">
        <f t="shared" si="0"/>
        <v>2023</v>
      </c>
      <c r="L7" s="492">
        <f t="shared" si="0"/>
        <v>2024</v>
      </c>
      <c r="M7" s="492">
        <f t="shared" si="0"/>
        <v>2025</v>
      </c>
      <c r="N7" s="492">
        <f t="shared" si="0"/>
        <v>2026</v>
      </c>
      <c r="O7" s="492">
        <f t="shared" si="0"/>
        <v>2027</v>
      </c>
      <c r="P7" s="493"/>
      <c r="T7" s="16"/>
      <c r="U7" s="17"/>
      <c r="V7" s="17"/>
      <c r="W7" s="17"/>
      <c r="X7" s="18"/>
      <c r="Y7" s="18">
        <f>Model!H7</f>
        <v>2021</v>
      </c>
      <c r="Z7" s="18">
        <f>Model!I7</f>
        <v>2022</v>
      </c>
      <c r="AA7" s="19">
        <f>Model!J7</f>
        <v>2023</v>
      </c>
      <c r="AB7" s="19">
        <f>Model!K7</f>
        <v>2024</v>
      </c>
      <c r="AC7" s="19">
        <f>Model!L7</f>
        <v>2025</v>
      </c>
      <c r="AD7" s="19">
        <f>Model!M7</f>
        <v>2026</v>
      </c>
      <c r="AE7" s="19">
        <f>Model!N7</f>
        <v>2027</v>
      </c>
      <c r="AF7" s="20"/>
    </row>
    <row r="8" spans="2:32" s="4" customFormat="1" ht="3" customHeight="1" x14ac:dyDescent="0.2">
      <c r="C8" s="500"/>
      <c r="D8" s="501"/>
      <c r="E8" s="501"/>
      <c r="F8" s="501"/>
      <c r="G8" s="501"/>
      <c r="H8" s="502"/>
      <c r="I8" s="502"/>
      <c r="J8" s="503"/>
      <c r="K8" s="504"/>
      <c r="L8" s="504"/>
      <c r="M8" s="504"/>
      <c r="N8" s="504"/>
      <c r="O8" s="504"/>
      <c r="P8" s="505"/>
      <c r="T8" s="21"/>
      <c r="X8" s="22"/>
      <c r="Y8" s="22"/>
      <c r="Z8" s="23"/>
      <c r="AA8" s="24"/>
      <c r="AB8" s="24"/>
      <c r="AC8" s="24"/>
      <c r="AD8" s="24"/>
      <c r="AE8" s="24"/>
      <c r="AF8" s="25"/>
    </row>
    <row r="9" spans="2:32" s="4" customFormat="1" ht="3" customHeight="1" x14ac:dyDescent="0.2">
      <c r="C9" s="494"/>
      <c r="D9" s="495"/>
      <c r="E9" s="495"/>
      <c r="F9" s="495"/>
      <c r="G9" s="495"/>
      <c r="H9" s="496"/>
      <c r="I9" s="496"/>
      <c r="J9" s="497"/>
      <c r="K9" s="498"/>
      <c r="L9" s="498"/>
      <c r="M9" s="498"/>
      <c r="N9" s="498"/>
      <c r="O9" s="498"/>
      <c r="P9" s="499"/>
      <c r="T9" s="21"/>
      <c r="X9" s="22"/>
      <c r="Y9" s="22"/>
      <c r="Z9" s="23"/>
      <c r="AA9" s="24"/>
      <c r="AB9" s="24"/>
      <c r="AC9" s="24"/>
      <c r="AD9" s="24"/>
      <c r="AE9" s="24"/>
      <c r="AF9" s="25"/>
    </row>
    <row r="10" spans="2:32" s="4" customFormat="1" ht="12.95" customHeight="1" x14ac:dyDescent="0.2">
      <c r="C10" s="26"/>
      <c r="D10" s="27" t="s">
        <v>5</v>
      </c>
      <c r="P10" s="28"/>
      <c r="T10" s="21"/>
      <c r="U10" s="27" t="s">
        <v>5</v>
      </c>
      <c r="AF10" s="25"/>
    </row>
    <row r="11" spans="2:32" s="4" customFormat="1" ht="3" customHeight="1" x14ac:dyDescent="0.2">
      <c r="C11" s="26"/>
      <c r="D11" s="27"/>
      <c r="P11" s="28"/>
      <c r="T11" s="21"/>
      <c r="U11" s="27"/>
      <c r="AF11" s="25"/>
    </row>
    <row r="12" spans="2:32" s="4" customFormat="1" ht="12.75" x14ac:dyDescent="0.2">
      <c r="C12" s="26"/>
      <c r="E12" s="4" t="s">
        <v>6</v>
      </c>
      <c r="F12" s="29"/>
      <c r="H12" s="30"/>
      <c r="I12" s="30">
        <v>23222.899999999998</v>
      </c>
      <c r="J12" s="30">
        <v>23182.6</v>
      </c>
      <c r="K12" s="30">
        <v>25493.699999999997</v>
      </c>
      <c r="L12" s="30">
        <v>26579.271949999998</v>
      </c>
      <c r="M12" s="30">
        <v>27775.339187749996</v>
      </c>
      <c r="N12" s="30">
        <v>29025.229451198746</v>
      </c>
      <c r="O12" s="30">
        <v>30331.364776502684</v>
      </c>
      <c r="P12" s="28"/>
      <c r="T12" s="21"/>
      <c r="V12" s="4" t="s">
        <v>6</v>
      </c>
      <c r="W12" s="31" t="s">
        <v>7</v>
      </c>
      <c r="X12" s="32"/>
      <c r="Y12" s="32">
        <f>Model!H118</f>
        <v>23222.899999999998</v>
      </c>
      <c r="Z12" s="32">
        <f>Model!I118</f>
        <v>23182.6</v>
      </c>
      <c r="AA12" s="32">
        <f>Model!J118</f>
        <v>25493.699999999997</v>
      </c>
      <c r="AB12" s="32">
        <f>Model!K118</f>
        <v>26579.271949999998</v>
      </c>
      <c r="AC12" s="32">
        <f>Model!L118</f>
        <v>27775.339187749996</v>
      </c>
      <c r="AD12" s="32">
        <f>Model!M118</f>
        <v>29025.229451198746</v>
      </c>
      <c r="AE12" s="32">
        <f>Model!N118</f>
        <v>30331.364776502684</v>
      </c>
      <c r="AF12" s="25"/>
    </row>
    <row r="13" spans="2:32" s="4" customFormat="1" ht="12.75" x14ac:dyDescent="0.2">
      <c r="C13" s="26"/>
      <c r="E13" s="33" t="s">
        <v>8</v>
      </c>
      <c r="F13" s="34"/>
      <c r="G13" s="33"/>
      <c r="H13" s="35"/>
      <c r="I13" s="36">
        <v>0</v>
      </c>
      <c r="J13" s="36">
        <v>-1.7353560494166587E-3</v>
      </c>
      <c r="K13" s="36">
        <v>9.969114767109799E-2</v>
      </c>
      <c r="L13" s="36">
        <v>4.258196927083957E-2</v>
      </c>
      <c r="M13" s="36">
        <v>4.4999999999999929E-2</v>
      </c>
      <c r="N13" s="36">
        <v>4.4999999999999929E-2</v>
      </c>
      <c r="O13" s="36">
        <v>4.4999999999999707E-2</v>
      </c>
      <c r="P13" s="28"/>
      <c r="T13" s="21"/>
      <c r="V13" s="33" t="s">
        <v>8</v>
      </c>
      <c r="W13" s="34" t="s">
        <v>9</v>
      </c>
      <c r="Y13" s="37">
        <f>IFERROR(Y12/X12-1,0)</f>
        <v>0</v>
      </c>
      <c r="Z13" s="37">
        <f t="shared" ref="Z13:AE13" si="1">IFERROR(Z12/Y12-1,0)</f>
        <v>-1.7353560494166587E-3</v>
      </c>
      <c r="AA13" s="37">
        <f t="shared" si="1"/>
        <v>9.969114767109799E-2</v>
      </c>
      <c r="AB13" s="37">
        <f t="shared" si="1"/>
        <v>4.258196927083957E-2</v>
      </c>
      <c r="AC13" s="37">
        <f t="shared" si="1"/>
        <v>4.4999999999999929E-2</v>
      </c>
      <c r="AD13" s="37">
        <f t="shared" si="1"/>
        <v>4.4999999999999929E-2</v>
      </c>
      <c r="AE13" s="37">
        <f t="shared" si="1"/>
        <v>4.4999999999999707E-2</v>
      </c>
      <c r="AF13" s="25"/>
    </row>
    <row r="14" spans="2:32" s="4" customFormat="1" ht="3" customHeight="1" x14ac:dyDescent="0.2">
      <c r="C14" s="26"/>
      <c r="E14" s="38"/>
      <c r="F14" s="38"/>
      <c r="G14" s="38"/>
      <c r="H14" s="39"/>
      <c r="I14" s="39"/>
      <c r="J14" s="39"/>
      <c r="K14" s="39"/>
      <c r="L14" s="39"/>
      <c r="M14" s="39"/>
      <c r="N14" s="39"/>
      <c r="O14" s="39"/>
      <c r="P14" s="28"/>
      <c r="T14" s="21"/>
      <c r="AF14" s="25"/>
    </row>
    <row r="15" spans="2:32" s="4" customFormat="1" ht="3" customHeight="1" x14ac:dyDescent="0.2">
      <c r="C15" s="26"/>
      <c r="H15" s="35"/>
      <c r="I15" s="35"/>
      <c r="J15" s="35"/>
      <c r="K15" s="35"/>
      <c r="L15" s="35"/>
      <c r="M15" s="35"/>
      <c r="N15" s="35"/>
      <c r="O15" s="35"/>
      <c r="P15" s="28"/>
      <c r="T15" s="21"/>
      <c r="AF15" s="25"/>
    </row>
    <row r="16" spans="2:32" s="4" customFormat="1" ht="12.75" x14ac:dyDescent="0.2">
      <c r="C16" s="26"/>
      <c r="E16" s="4" t="s">
        <v>10</v>
      </c>
      <c r="F16" s="29"/>
      <c r="H16" s="30"/>
      <c r="I16" s="30">
        <v>10685.699999999997</v>
      </c>
      <c r="J16" s="30">
        <v>9741.4</v>
      </c>
      <c r="K16" s="30">
        <v>12028.399999999996</v>
      </c>
      <c r="L16" s="30">
        <v>11738.71883</v>
      </c>
      <c r="M16" s="30">
        <v>12405.325197349997</v>
      </c>
      <c r="N16" s="30">
        <v>13101.928851230748</v>
      </c>
      <c r="O16" s="30">
        <v>13829.879669536123</v>
      </c>
      <c r="P16" s="40"/>
      <c r="T16" s="21"/>
      <c r="V16" s="4" t="s">
        <v>10</v>
      </c>
      <c r="W16" s="31" t="s">
        <v>7</v>
      </c>
      <c r="X16" s="32"/>
      <c r="Y16" s="32">
        <f>Model!H133</f>
        <v>10685.699999999997</v>
      </c>
      <c r="Z16" s="32">
        <f>Model!I133</f>
        <v>9741.4</v>
      </c>
      <c r="AA16" s="32">
        <f>Model!J133</f>
        <v>12028.399999999996</v>
      </c>
      <c r="AB16" s="32">
        <f>Model!K133</f>
        <v>11738.71883</v>
      </c>
      <c r="AC16" s="32">
        <f>Model!L133</f>
        <v>12405.325197349997</v>
      </c>
      <c r="AD16" s="32">
        <f>Model!M133</f>
        <v>13101.928851230748</v>
      </c>
      <c r="AE16" s="32">
        <f>Model!N133</f>
        <v>13829.879669536123</v>
      </c>
      <c r="AF16" s="25"/>
    </row>
    <row r="17" spans="3:32" s="4" customFormat="1" ht="12.75" x14ac:dyDescent="0.2">
      <c r="C17" s="26"/>
      <c r="E17" s="33" t="s">
        <v>11</v>
      </c>
      <c r="F17" s="34"/>
      <c r="G17" s="33"/>
      <c r="H17" s="36"/>
      <c r="I17" s="36">
        <v>0.46013633094919232</v>
      </c>
      <c r="J17" s="36">
        <v>0.42020308334699302</v>
      </c>
      <c r="K17" s="36">
        <v>0.47181852771469018</v>
      </c>
      <c r="L17" s="36">
        <v>0.44164937444797092</v>
      </c>
      <c r="M17" s="36">
        <v>0.44663091649376607</v>
      </c>
      <c r="N17" s="36">
        <v>0.45139794237490988</v>
      </c>
      <c r="O17" s="36">
        <v>0.45595968962959266</v>
      </c>
      <c r="P17" s="41"/>
      <c r="T17" s="21"/>
      <c r="V17" s="33" t="s">
        <v>11</v>
      </c>
      <c r="W17" s="34" t="s">
        <v>9</v>
      </c>
      <c r="X17" s="37"/>
      <c r="Y17" s="37">
        <f t="shared" ref="Y17:AE17" si="2">Y16/Y12</f>
        <v>0.46013633094919232</v>
      </c>
      <c r="Z17" s="37">
        <f t="shared" si="2"/>
        <v>0.42020308334699302</v>
      </c>
      <c r="AA17" s="37">
        <f t="shared" si="2"/>
        <v>0.47181852771469018</v>
      </c>
      <c r="AB17" s="37">
        <f t="shared" si="2"/>
        <v>0.44164937444797092</v>
      </c>
      <c r="AC17" s="37">
        <f t="shared" si="2"/>
        <v>0.44663091649376607</v>
      </c>
      <c r="AD17" s="37">
        <f t="shared" si="2"/>
        <v>0.45139794237490988</v>
      </c>
      <c r="AE17" s="37">
        <f t="shared" si="2"/>
        <v>0.45595968962959266</v>
      </c>
      <c r="AF17" s="25"/>
    </row>
    <row r="18" spans="3:32" s="4" customFormat="1" ht="12.75" x14ac:dyDescent="0.2">
      <c r="C18" s="26"/>
      <c r="E18" s="33" t="s">
        <v>8</v>
      </c>
      <c r="F18" s="34"/>
      <c r="G18" s="33"/>
      <c r="H18" s="42"/>
      <c r="I18" s="36">
        <v>0</v>
      </c>
      <c r="J18" s="36">
        <v>-8.8370438997912859E-2</v>
      </c>
      <c r="K18" s="36">
        <v>0.23477118278686815</v>
      </c>
      <c r="L18" s="36">
        <v>-2.4083100828039994E-2</v>
      </c>
      <c r="M18" s="36">
        <v>5.6786977949108808E-2</v>
      </c>
      <c r="N18" s="36">
        <v>5.6153598781074843E-2</v>
      </c>
      <c r="O18" s="36">
        <v>5.5560583985081902E-2</v>
      </c>
      <c r="P18" s="41"/>
      <c r="T18" s="21"/>
      <c r="V18" s="33" t="s">
        <v>8</v>
      </c>
      <c r="W18" s="34" t="s">
        <v>9</v>
      </c>
      <c r="X18" s="34"/>
      <c r="Y18" s="37">
        <f>IFERROR(Y16/X16-1,0)</f>
        <v>0</v>
      </c>
      <c r="Z18" s="37">
        <f t="shared" ref="Z18:AE18" si="3">IFERROR(Z16/Y16-1,0)</f>
        <v>-8.8370438997912859E-2</v>
      </c>
      <c r="AA18" s="37">
        <f t="shared" si="3"/>
        <v>0.23477118278686815</v>
      </c>
      <c r="AB18" s="37">
        <f t="shared" si="3"/>
        <v>-2.4083100828039994E-2</v>
      </c>
      <c r="AC18" s="37">
        <f t="shared" si="3"/>
        <v>5.6786977949108808E-2</v>
      </c>
      <c r="AD18" s="37">
        <f t="shared" si="3"/>
        <v>5.6153598781074843E-2</v>
      </c>
      <c r="AE18" s="37">
        <f t="shared" si="3"/>
        <v>5.5560583985081902E-2</v>
      </c>
      <c r="AF18" s="25"/>
    </row>
    <row r="19" spans="3:32" s="4" customFormat="1" ht="3" customHeight="1" x14ac:dyDescent="0.2">
      <c r="C19" s="26"/>
      <c r="E19" s="38"/>
      <c r="F19" s="38"/>
      <c r="G19" s="38"/>
      <c r="H19" s="39"/>
      <c r="I19" s="39"/>
      <c r="J19" s="39"/>
      <c r="K19" s="39"/>
      <c r="L19" s="39"/>
      <c r="M19" s="39"/>
      <c r="N19" s="39"/>
      <c r="O19" s="39"/>
      <c r="P19" s="28"/>
      <c r="T19" s="21"/>
      <c r="AF19" s="25"/>
    </row>
    <row r="20" spans="3:32" s="4" customFormat="1" ht="3" customHeight="1" x14ac:dyDescent="0.2">
      <c r="C20" s="26"/>
      <c r="H20" s="35"/>
      <c r="I20" s="35"/>
      <c r="J20" s="35"/>
      <c r="K20" s="35"/>
      <c r="L20" s="35"/>
      <c r="M20" s="35"/>
      <c r="N20" s="35"/>
      <c r="O20" s="35"/>
      <c r="P20" s="28"/>
      <c r="T20" s="21"/>
      <c r="AF20" s="25"/>
    </row>
    <row r="21" spans="3:32" s="4" customFormat="1" ht="12.75" x14ac:dyDescent="0.2">
      <c r="C21" s="26"/>
      <c r="E21" s="4" t="s">
        <v>12</v>
      </c>
      <c r="F21" s="29"/>
      <c r="H21" s="30"/>
      <c r="I21" s="30">
        <v>7545.199999999998</v>
      </c>
      <c r="J21" s="30">
        <v>6177.4</v>
      </c>
      <c r="K21" s="30">
        <v>8468.7999999999956</v>
      </c>
      <c r="L21" s="30">
        <v>8045.3476055000001</v>
      </c>
      <c r="M21" s="30">
        <v>8540.8968587501404</v>
      </c>
      <c r="N21" s="30">
        <v>9103.7051836631072</v>
      </c>
      <c r="O21" s="30">
        <v>9703.4582701779218</v>
      </c>
      <c r="P21" s="40"/>
      <c r="T21" s="21"/>
      <c r="V21" s="4" t="s">
        <v>12</v>
      </c>
      <c r="W21" s="31" t="s">
        <v>7</v>
      </c>
      <c r="X21" s="32"/>
      <c r="Y21" s="32">
        <f>Model!H149</f>
        <v>7545.199999999998</v>
      </c>
      <c r="Z21" s="32">
        <f>Model!I149</f>
        <v>6177.4</v>
      </c>
      <c r="AA21" s="32">
        <f>Model!J149</f>
        <v>8468.7999999999956</v>
      </c>
      <c r="AB21" s="32">
        <f>Model!K149</f>
        <v>8045.3476055000001</v>
      </c>
      <c r="AC21" s="32">
        <f>Model!L149</f>
        <v>8540.8968587501404</v>
      </c>
      <c r="AD21" s="32">
        <f>Model!M149</f>
        <v>9103.7051836631072</v>
      </c>
      <c r="AE21" s="32">
        <f>Model!N149</f>
        <v>9703.4582701779218</v>
      </c>
      <c r="AF21" s="25"/>
    </row>
    <row r="22" spans="3:32" s="4" customFormat="1" ht="12.75" x14ac:dyDescent="0.2">
      <c r="C22" s="26"/>
      <c r="E22" s="33" t="s">
        <v>11</v>
      </c>
      <c r="F22" s="43"/>
      <c r="G22" s="33"/>
      <c r="H22" s="36"/>
      <c r="I22" s="36">
        <v>0.32490343583273401</v>
      </c>
      <c r="J22" s="36">
        <v>0.26646709169808391</v>
      </c>
      <c r="K22" s="36">
        <v>0.33219187485535628</v>
      </c>
      <c r="L22" s="36">
        <v>0.30269255006813683</v>
      </c>
      <c r="M22" s="36">
        <v>0.30749928204358373</v>
      </c>
      <c r="N22" s="36">
        <v>0.31364800057720554</v>
      </c>
      <c r="O22" s="36">
        <v>0.31991499036321192</v>
      </c>
      <c r="P22" s="40"/>
      <c r="T22" s="21"/>
      <c r="V22" s="33" t="s">
        <v>11</v>
      </c>
      <c r="W22" s="34" t="s">
        <v>9</v>
      </c>
      <c r="X22" s="37"/>
      <c r="Y22" s="37">
        <f t="shared" ref="Y22:AE22" si="4">Y21/Y12</f>
        <v>0.32490343583273401</v>
      </c>
      <c r="Z22" s="37">
        <f t="shared" si="4"/>
        <v>0.26646709169808391</v>
      </c>
      <c r="AA22" s="37">
        <f t="shared" si="4"/>
        <v>0.33219187485535628</v>
      </c>
      <c r="AB22" s="37">
        <f t="shared" si="4"/>
        <v>0.30269255006813683</v>
      </c>
      <c r="AC22" s="37">
        <f t="shared" si="4"/>
        <v>0.30749928204358373</v>
      </c>
      <c r="AD22" s="37">
        <f t="shared" si="4"/>
        <v>0.31364800057720554</v>
      </c>
      <c r="AE22" s="37">
        <f t="shared" si="4"/>
        <v>0.31991499036321192</v>
      </c>
      <c r="AF22" s="25"/>
    </row>
    <row r="23" spans="3:32" s="4" customFormat="1" ht="12.75" x14ac:dyDescent="0.2">
      <c r="C23" s="26"/>
      <c r="E23" s="33" t="s">
        <v>8</v>
      </c>
      <c r="F23" s="43"/>
      <c r="G23" s="33"/>
      <c r="H23" s="42"/>
      <c r="I23" s="36">
        <v>0</v>
      </c>
      <c r="J23" s="36">
        <v>-0.18128081429253018</v>
      </c>
      <c r="K23" s="36">
        <v>0.37093275488069355</v>
      </c>
      <c r="L23" s="36">
        <v>-5.000146354855417E-2</v>
      </c>
      <c r="M23" s="36">
        <v>6.1594511206870761E-2</v>
      </c>
      <c r="N23" s="36">
        <v>6.5895693885633433E-2</v>
      </c>
      <c r="O23" s="36">
        <v>6.5880108638743051E-2</v>
      </c>
      <c r="P23" s="40"/>
      <c r="T23" s="21"/>
      <c r="V23" s="33" t="s">
        <v>8</v>
      </c>
      <c r="W23" s="34" t="s">
        <v>9</v>
      </c>
      <c r="X23" s="34"/>
      <c r="Y23" s="37">
        <f>IFERROR(Y21/X21-1,0)</f>
        <v>0</v>
      </c>
      <c r="Z23" s="37">
        <f t="shared" ref="Z23:AE23" si="5">IFERROR(Z21/Y21-1,0)</f>
        <v>-0.18128081429253018</v>
      </c>
      <c r="AA23" s="37">
        <f t="shared" si="5"/>
        <v>0.37093275488069355</v>
      </c>
      <c r="AB23" s="37">
        <f t="shared" si="5"/>
        <v>-5.000146354855417E-2</v>
      </c>
      <c r="AC23" s="37">
        <f t="shared" si="5"/>
        <v>6.1594511206870761E-2</v>
      </c>
      <c r="AD23" s="37">
        <f t="shared" si="5"/>
        <v>6.5895693885633433E-2</v>
      </c>
      <c r="AE23" s="37">
        <f t="shared" si="5"/>
        <v>6.5880108638743051E-2</v>
      </c>
      <c r="AF23" s="25"/>
    </row>
    <row r="24" spans="3:32" s="4" customFormat="1" ht="3.95" customHeight="1" x14ac:dyDescent="0.2">
      <c r="C24" s="44"/>
      <c r="D24" s="45"/>
      <c r="E24" s="46"/>
      <c r="F24" s="45"/>
      <c r="G24" s="45"/>
      <c r="H24" s="45"/>
      <c r="I24" s="45"/>
      <c r="J24" s="45"/>
      <c r="K24" s="45"/>
      <c r="L24" s="45"/>
      <c r="M24" s="45"/>
      <c r="N24" s="45"/>
      <c r="O24" s="45"/>
      <c r="P24" s="47"/>
      <c r="T24" s="48"/>
      <c r="U24" s="49"/>
      <c r="V24" s="49"/>
      <c r="W24" s="49"/>
      <c r="X24" s="49"/>
      <c r="Y24" s="49"/>
      <c r="Z24" s="49"/>
      <c r="AA24" s="49"/>
      <c r="AB24" s="49"/>
      <c r="AC24" s="49"/>
      <c r="AD24" s="49"/>
      <c r="AE24" s="49"/>
      <c r="AF24" s="50"/>
    </row>
    <row r="25" spans="3:32" s="4" customFormat="1" ht="9.9499999999999993" customHeight="1" x14ac:dyDescent="0.2"/>
    <row r="26" spans="3:32" s="4" customFormat="1" ht="15" customHeight="1" x14ac:dyDescent="0.3">
      <c r="C26" s="8" t="s">
        <v>13</v>
      </c>
      <c r="D26" s="9"/>
      <c r="E26" s="9"/>
      <c r="F26" s="9"/>
      <c r="G26" s="9"/>
      <c r="H26" s="7"/>
      <c r="I26" s="7"/>
      <c r="J26" s="7"/>
      <c r="K26" s="7"/>
      <c r="L26" s="7"/>
      <c r="M26" s="7"/>
      <c r="N26" s="7"/>
      <c r="O26" s="7"/>
      <c r="P26" s="7"/>
    </row>
    <row r="27" spans="3:32" s="10" customFormat="1" ht="15" customHeight="1" x14ac:dyDescent="0.25">
      <c r="C27" s="481"/>
      <c r="D27" s="482"/>
      <c r="E27" s="482"/>
      <c r="F27" s="482"/>
      <c r="G27" s="482"/>
      <c r="H27" s="483"/>
      <c r="I27" s="483"/>
      <c r="J27" s="483"/>
      <c r="K27" s="484" t="s">
        <v>2</v>
      </c>
      <c r="L27" s="485"/>
      <c r="M27" s="486"/>
      <c r="N27" s="486"/>
      <c r="O27" s="486"/>
      <c r="P27" s="487"/>
    </row>
    <row r="28" spans="3:32" s="10" customFormat="1" ht="15" customHeight="1" x14ac:dyDescent="0.25">
      <c r="C28" s="488"/>
      <c r="D28" s="489" t="s">
        <v>3</v>
      </c>
      <c r="E28" s="490"/>
      <c r="F28" s="489" t="s">
        <v>4</v>
      </c>
      <c r="G28" s="490"/>
      <c r="H28" s="491"/>
      <c r="I28" s="491">
        <f t="shared" ref="I28:O28" si="6">I7</f>
        <v>2021</v>
      </c>
      <c r="J28" s="491">
        <f t="shared" si="6"/>
        <v>2022</v>
      </c>
      <c r="K28" s="492">
        <f t="shared" si="6"/>
        <v>2023</v>
      </c>
      <c r="L28" s="492">
        <f t="shared" si="6"/>
        <v>2024</v>
      </c>
      <c r="M28" s="492">
        <f t="shared" si="6"/>
        <v>2025</v>
      </c>
      <c r="N28" s="492">
        <f t="shared" si="6"/>
        <v>2026</v>
      </c>
      <c r="O28" s="492">
        <f t="shared" si="6"/>
        <v>2027</v>
      </c>
      <c r="P28" s="493"/>
    </row>
    <row r="29" spans="3:32" s="4" customFormat="1" ht="3" customHeight="1" x14ac:dyDescent="0.2">
      <c r="C29" s="500"/>
      <c r="D29" s="501"/>
      <c r="E29" s="501"/>
      <c r="F29" s="501"/>
      <c r="G29" s="501"/>
      <c r="H29" s="502"/>
      <c r="I29" s="502"/>
      <c r="J29" s="503"/>
      <c r="K29" s="504"/>
      <c r="L29" s="504"/>
      <c r="M29" s="504"/>
      <c r="N29" s="504"/>
      <c r="O29" s="504"/>
      <c r="P29" s="505"/>
    </row>
    <row r="30" spans="3:32" s="4" customFormat="1" ht="3" customHeight="1" x14ac:dyDescent="0.2">
      <c r="C30" s="494"/>
      <c r="D30" s="495"/>
      <c r="E30" s="495"/>
      <c r="F30" s="495"/>
      <c r="G30" s="495"/>
      <c r="H30" s="496"/>
      <c r="I30" s="496"/>
      <c r="J30" s="497"/>
      <c r="K30" s="498"/>
      <c r="L30" s="498"/>
      <c r="M30" s="498"/>
      <c r="N30" s="498"/>
      <c r="O30" s="498"/>
      <c r="P30" s="499"/>
    </row>
    <row r="31" spans="3:32" s="4" customFormat="1" ht="12.95" customHeight="1" x14ac:dyDescent="0.2">
      <c r="C31" s="26"/>
      <c r="D31" s="27" t="s">
        <v>5</v>
      </c>
      <c r="P31" s="28"/>
    </row>
    <row r="32" spans="3:32" s="4" customFormat="1" ht="3" customHeight="1" x14ac:dyDescent="0.2">
      <c r="C32" s="26"/>
      <c r="D32" s="27"/>
      <c r="P32" s="28"/>
    </row>
    <row r="33" spans="3:31" s="4" customFormat="1" ht="12.75" x14ac:dyDescent="0.2">
      <c r="C33" s="26"/>
      <c r="E33" s="4" t="s">
        <v>6</v>
      </c>
      <c r="F33" s="29"/>
      <c r="H33" s="30"/>
      <c r="I33" s="30">
        <v>23222.899999999998</v>
      </c>
      <c r="J33" s="30">
        <v>23182.6</v>
      </c>
      <c r="K33" s="30">
        <v>25493.699999999997</v>
      </c>
      <c r="L33" s="30">
        <v>28748.140541119999</v>
      </c>
      <c r="M33" s="30">
        <v>30041.806865470393</v>
      </c>
      <c r="N33" s="30">
        <v>31393.688174416566</v>
      </c>
      <c r="O33" s="30">
        <v>32806.404142265303</v>
      </c>
      <c r="P33" s="28"/>
      <c r="W33" s="31"/>
      <c r="X33" s="32"/>
      <c r="Y33" s="32"/>
      <c r="Z33" s="32"/>
      <c r="AA33" s="32"/>
      <c r="AB33" s="32"/>
      <c r="AC33" s="32"/>
      <c r="AD33" s="32"/>
      <c r="AE33" s="32"/>
    </row>
    <row r="34" spans="3:31" s="4" customFormat="1" ht="12.75" x14ac:dyDescent="0.2">
      <c r="C34" s="26"/>
      <c r="E34" s="33" t="s">
        <v>8</v>
      </c>
      <c r="F34" s="34"/>
      <c r="G34" s="33"/>
      <c r="H34" s="35"/>
      <c r="I34" s="36">
        <v>0</v>
      </c>
      <c r="J34" s="36">
        <v>-1.7353560494166587E-3</v>
      </c>
      <c r="K34" s="36">
        <v>9.969114767109799E-2</v>
      </c>
      <c r="L34" s="36">
        <v>0.12765665796334003</v>
      </c>
      <c r="M34" s="36">
        <v>4.4999999999999707E-2</v>
      </c>
      <c r="N34" s="36">
        <v>4.5000000000000151E-2</v>
      </c>
      <c r="O34" s="36">
        <v>4.4999999999999707E-2</v>
      </c>
      <c r="P34" s="28"/>
      <c r="V34" s="51"/>
      <c r="W34" s="31"/>
      <c r="Y34" s="52"/>
      <c r="Z34" s="52"/>
      <c r="AA34" s="52"/>
      <c r="AB34" s="52"/>
      <c r="AC34" s="52"/>
      <c r="AD34" s="52"/>
      <c r="AE34" s="52"/>
    </row>
    <row r="35" spans="3:31" s="4" customFormat="1" ht="3" customHeight="1" x14ac:dyDescent="0.2">
      <c r="C35" s="26"/>
      <c r="H35" s="39"/>
      <c r="I35" s="39"/>
      <c r="J35" s="39"/>
      <c r="K35" s="39"/>
      <c r="L35" s="39"/>
      <c r="M35" s="39"/>
      <c r="N35" s="39"/>
      <c r="O35" s="39"/>
      <c r="P35" s="28"/>
    </row>
    <row r="36" spans="3:31" s="4" customFormat="1" ht="3" customHeight="1" x14ac:dyDescent="0.2">
      <c r="C36" s="26"/>
      <c r="H36" s="35"/>
      <c r="I36" s="35"/>
      <c r="J36" s="35"/>
      <c r="K36" s="35"/>
      <c r="L36" s="35"/>
      <c r="M36" s="35"/>
      <c r="N36" s="35"/>
      <c r="O36" s="35"/>
      <c r="P36" s="28"/>
    </row>
    <row r="37" spans="3:31" s="4" customFormat="1" ht="12.75" x14ac:dyDescent="0.2">
      <c r="C37" s="26"/>
      <c r="E37" s="4" t="s">
        <v>10</v>
      </c>
      <c r="F37" s="29"/>
      <c r="H37" s="30"/>
      <c r="I37" s="30">
        <v>10685.699999999997</v>
      </c>
      <c r="J37" s="30">
        <v>9741.4</v>
      </c>
      <c r="K37" s="30">
        <v>12028.399999999996</v>
      </c>
      <c r="L37" s="30">
        <v>13734.260099519999</v>
      </c>
      <c r="M37" s="30">
        <v>14487.979143998395</v>
      </c>
      <c r="N37" s="30">
        <v>15275.615545478327</v>
      </c>
      <c r="O37" s="30">
        <v>16098.695585024841</v>
      </c>
      <c r="P37" s="40"/>
      <c r="W37" s="31"/>
      <c r="X37" s="32"/>
      <c r="Y37" s="32"/>
      <c r="Z37" s="32"/>
      <c r="AA37" s="32"/>
      <c r="AB37" s="32"/>
      <c r="AC37" s="32"/>
      <c r="AD37" s="32"/>
      <c r="AE37" s="32"/>
    </row>
    <row r="38" spans="3:31" s="4" customFormat="1" ht="12.75" x14ac:dyDescent="0.2">
      <c r="C38" s="26"/>
      <c r="E38" s="33" t="s">
        <v>11</v>
      </c>
      <c r="F38" s="34"/>
      <c r="G38" s="33"/>
      <c r="H38" s="36"/>
      <c r="I38" s="36">
        <v>0.46013633094919232</v>
      </c>
      <c r="J38" s="36">
        <v>0.42020308334699302</v>
      </c>
      <c r="K38" s="36">
        <v>0.47181852771469018</v>
      </c>
      <c r="L38" s="36">
        <v>0.47774429375267435</v>
      </c>
      <c r="M38" s="36">
        <v>0.48226057802970113</v>
      </c>
      <c r="N38" s="36">
        <v>0.48658238116561203</v>
      </c>
      <c r="O38" s="36">
        <v>0.49071807794638772</v>
      </c>
      <c r="P38" s="41"/>
      <c r="V38" s="51"/>
      <c r="W38" s="31"/>
      <c r="X38" s="52"/>
      <c r="Y38" s="52"/>
      <c r="Z38" s="52"/>
      <c r="AA38" s="52"/>
      <c r="AB38" s="52"/>
      <c r="AC38" s="52"/>
      <c r="AD38" s="52"/>
      <c r="AE38" s="52"/>
    </row>
    <row r="39" spans="3:31" s="4" customFormat="1" ht="12.75" x14ac:dyDescent="0.2">
      <c r="C39" s="26"/>
      <c r="E39" s="33" t="s">
        <v>8</v>
      </c>
      <c r="F39" s="34"/>
      <c r="G39" s="33"/>
      <c r="H39" s="42"/>
      <c r="I39" s="36">
        <v>0</v>
      </c>
      <c r="J39" s="36">
        <v>-8.8370438997912859E-2</v>
      </c>
      <c r="K39" s="36">
        <v>0.23477118278686815</v>
      </c>
      <c r="L39" s="36">
        <v>0.14181936911975024</v>
      </c>
      <c r="M39" s="36">
        <v>5.4878751313639285E-2</v>
      </c>
      <c r="N39" s="36">
        <v>5.4364821598063218E-2</v>
      </c>
      <c r="O39" s="36">
        <v>5.3881955663001024E-2</v>
      </c>
      <c r="P39" s="41"/>
      <c r="V39" s="51"/>
      <c r="W39" s="31"/>
      <c r="Y39" s="52"/>
      <c r="Z39" s="52"/>
      <c r="AA39" s="52"/>
      <c r="AB39" s="52"/>
      <c r="AC39" s="52"/>
      <c r="AD39" s="52"/>
      <c r="AE39" s="52"/>
    </row>
    <row r="40" spans="3:31" s="4" customFormat="1" ht="3" customHeight="1" x14ac:dyDescent="0.2">
      <c r="C40" s="26"/>
      <c r="H40" s="39"/>
      <c r="I40" s="39"/>
      <c r="J40" s="39"/>
      <c r="K40" s="39"/>
      <c r="L40" s="39"/>
      <c r="M40" s="39"/>
      <c r="N40" s="39"/>
      <c r="O40" s="39"/>
      <c r="P40" s="28"/>
    </row>
    <row r="41" spans="3:31" s="4" customFormat="1" ht="3" customHeight="1" x14ac:dyDescent="0.2">
      <c r="C41" s="26"/>
      <c r="H41" s="35"/>
      <c r="I41" s="35"/>
      <c r="J41" s="35"/>
      <c r="K41" s="35"/>
      <c r="L41" s="35"/>
      <c r="M41" s="35"/>
      <c r="N41" s="35"/>
      <c r="O41" s="35"/>
      <c r="P41" s="28"/>
    </row>
    <row r="42" spans="3:31" s="4" customFormat="1" ht="12.75" x14ac:dyDescent="0.2">
      <c r="C42" s="26"/>
      <c r="E42" s="4" t="s">
        <v>12</v>
      </c>
      <c r="F42" s="29"/>
      <c r="H42" s="30"/>
      <c r="I42" s="30">
        <v>7545.199999999998</v>
      </c>
      <c r="J42" s="30">
        <v>6177.4</v>
      </c>
      <c r="K42" s="30">
        <v>8468.7999999999956</v>
      </c>
      <c r="L42" s="30">
        <v>9741.5576845920004</v>
      </c>
      <c r="M42" s="30">
        <v>10333.319018946202</v>
      </c>
      <c r="N42" s="30">
        <v>11000.020767459348</v>
      </c>
      <c r="O42" s="30">
        <v>11708.696868348785</v>
      </c>
      <c r="P42" s="40"/>
      <c r="W42" s="31"/>
      <c r="X42" s="53"/>
      <c r="Y42" s="53"/>
      <c r="Z42" s="53"/>
      <c r="AA42" s="32"/>
      <c r="AB42" s="32"/>
      <c r="AC42" s="32"/>
      <c r="AD42" s="32"/>
      <c r="AE42" s="32"/>
    </row>
    <row r="43" spans="3:31" s="4" customFormat="1" ht="12.75" x14ac:dyDescent="0.2">
      <c r="C43" s="26"/>
      <c r="E43" s="33" t="s">
        <v>11</v>
      </c>
      <c r="F43" s="34"/>
      <c r="G43" s="33"/>
      <c r="H43" s="36"/>
      <c r="I43" s="36">
        <v>0.32490343583273401</v>
      </c>
      <c r="J43" s="36">
        <v>0.26646709169808391</v>
      </c>
      <c r="K43" s="36">
        <v>0.33219187485535628</v>
      </c>
      <c r="L43" s="36">
        <v>0.3388587053363723</v>
      </c>
      <c r="M43" s="36">
        <v>0.3439646311961071</v>
      </c>
      <c r="N43" s="36">
        <v>0.35038956577340014</v>
      </c>
      <c r="O43" s="36">
        <v>0.35690278085869764</v>
      </c>
      <c r="P43" s="40"/>
      <c r="W43" s="31"/>
      <c r="X43" s="53"/>
      <c r="Y43" s="53"/>
      <c r="Z43" s="53"/>
      <c r="AA43" s="32"/>
      <c r="AB43" s="32"/>
      <c r="AC43" s="32"/>
      <c r="AD43" s="32"/>
      <c r="AE43" s="32"/>
    </row>
    <row r="44" spans="3:31" s="4" customFormat="1" ht="12.75" x14ac:dyDescent="0.2">
      <c r="C44" s="26"/>
      <c r="E44" s="33" t="s">
        <v>8</v>
      </c>
      <c r="F44" s="34"/>
      <c r="G44" s="33"/>
      <c r="H44" s="42"/>
      <c r="I44" s="36">
        <v>0</v>
      </c>
      <c r="J44" s="36">
        <v>-0.18128081429253018</v>
      </c>
      <c r="K44" s="36">
        <v>0.37093275488069355</v>
      </c>
      <c r="L44" s="36">
        <v>0.15028784297562892</v>
      </c>
      <c r="M44" s="36">
        <v>6.0746068905404904E-2</v>
      </c>
      <c r="N44" s="36">
        <v>6.4519613426309963E-2</v>
      </c>
      <c r="O44" s="36">
        <v>6.4424978449665105E-2</v>
      </c>
      <c r="P44" s="40"/>
      <c r="W44" s="31"/>
      <c r="X44" s="53"/>
      <c r="Y44" s="53"/>
      <c r="Z44" s="53"/>
      <c r="AA44" s="32"/>
      <c r="AB44" s="32"/>
      <c r="AC44" s="32"/>
      <c r="AD44" s="32"/>
      <c r="AE44" s="32"/>
    </row>
    <row r="45" spans="3:31" s="4" customFormat="1" ht="3.95" customHeight="1" x14ac:dyDescent="0.2">
      <c r="C45" s="44"/>
      <c r="D45" s="45"/>
      <c r="E45" s="45"/>
      <c r="F45" s="45"/>
      <c r="G45" s="45"/>
      <c r="H45" s="45"/>
      <c r="I45" s="45"/>
      <c r="J45" s="45"/>
      <c r="K45" s="45"/>
      <c r="L45" s="45"/>
      <c r="M45" s="45"/>
      <c r="N45" s="45"/>
      <c r="O45" s="45"/>
      <c r="P45" s="47"/>
    </row>
    <row r="46" spans="3:31" s="4" customFormat="1" ht="5.25" customHeight="1" x14ac:dyDescent="0.2"/>
    <row r="47" spans="3:31" s="4" customFormat="1" ht="15" customHeight="1" x14ac:dyDescent="0.3">
      <c r="C47" s="8" t="s">
        <v>14</v>
      </c>
      <c r="D47" s="9"/>
      <c r="E47" s="9"/>
      <c r="F47" s="9"/>
      <c r="G47" s="9"/>
      <c r="H47" s="7"/>
      <c r="I47" s="7"/>
      <c r="J47" s="7"/>
      <c r="K47" s="7"/>
      <c r="L47" s="7"/>
      <c r="M47" s="7"/>
      <c r="N47" s="7"/>
      <c r="O47" s="7"/>
      <c r="P47" s="7"/>
    </row>
    <row r="48" spans="3:31" s="10" customFormat="1" ht="15" customHeight="1" x14ac:dyDescent="0.25">
      <c r="C48" s="481"/>
      <c r="D48" s="482"/>
      <c r="E48" s="482"/>
      <c r="F48" s="482"/>
      <c r="G48" s="482"/>
      <c r="H48" s="483"/>
      <c r="I48" s="483"/>
      <c r="J48" s="483"/>
      <c r="K48" s="484" t="s">
        <v>2</v>
      </c>
      <c r="L48" s="485"/>
      <c r="M48" s="486"/>
      <c r="N48" s="486"/>
      <c r="O48" s="486"/>
      <c r="P48" s="487"/>
    </row>
    <row r="49" spans="3:31" s="10" customFormat="1" ht="15" customHeight="1" x14ac:dyDescent="0.25">
      <c r="C49" s="488"/>
      <c r="D49" s="489" t="s">
        <v>3</v>
      </c>
      <c r="E49" s="490"/>
      <c r="F49" s="489" t="s">
        <v>4</v>
      </c>
      <c r="G49" s="490"/>
      <c r="H49" s="491"/>
      <c r="I49" s="491">
        <f t="shared" ref="I49:O49" si="7">I28</f>
        <v>2021</v>
      </c>
      <c r="J49" s="491">
        <f t="shared" si="7"/>
        <v>2022</v>
      </c>
      <c r="K49" s="492">
        <f t="shared" si="7"/>
        <v>2023</v>
      </c>
      <c r="L49" s="492">
        <f t="shared" si="7"/>
        <v>2024</v>
      </c>
      <c r="M49" s="492">
        <f t="shared" si="7"/>
        <v>2025</v>
      </c>
      <c r="N49" s="492">
        <f t="shared" si="7"/>
        <v>2026</v>
      </c>
      <c r="O49" s="492">
        <f t="shared" si="7"/>
        <v>2027</v>
      </c>
      <c r="P49" s="493"/>
    </row>
    <row r="50" spans="3:31" s="4" customFormat="1" ht="3" customHeight="1" x14ac:dyDescent="0.2">
      <c r="C50" s="500"/>
      <c r="D50" s="501"/>
      <c r="E50" s="501"/>
      <c r="F50" s="501"/>
      <c r="G50" s="501"/>
      <c r="H50" s="502"/>
      <c r="I50" s="502"/>
      <c r="J50" s="503"/>
      <c r="K50" s="504"/>
      <c r="L50" s="504"/>
      <c r="M50" s="504"/>
      <c r="N50" s="504"/>
      <c r="O50" s="504"/>
      <c r="P50" s="505"/>
      <c r="X50" s="10"/>
      <c r="Y50" s="10"/>
      <c r="Z50" s="10"/>
      <c r="AA50" s="10"/>
      <c r="AB50" s="10"/>
      <c r="AC50" s="10"/>
      <c r="AD50" s="10"/>
      <c r="AE50" s="10"/>
    </row>
    <row r="51" spans="3:31" s="4" customFormat="1" ht="3" customHeight="1" x14ac:dyDescent="0.2">
      <c r="C51" s="494"/>
      <c r="D51" s="495"/>
      <c r="E51" s="495"/>
      <c r="F51" s="495"/>
      <c r="G51" s="495"/>
      <c r="H51" s="496"/>
      <c r="I51" s="496"/>
      <c r="J51" s="497"/>
      <c r="K51" s="498"/>
      <c r="L51" s="498"/>
      <c r="M51" s="498"/>
      <c r="N51" s="498"/>
      <c r="O51" s="498"/>
      <c r="P51" s="499"/>
      <c r="X51" s="10"/>
      <c r="Y51" s="10"/>
      <c r="Z51" s="10"/>
      <c r="AA51" s="10"/>
      <c r="AB51" s="10"/>
      <c r="AC51" s="10"/>
      <c r="AD51" s="10"/>
      <c r="AE51" s="10"/>
    </row>
    <row r="52" spans="3:31" s="4" customFormat="1" ht="12.95" customHeight="1" x14ac:dyDescent="0.2">
      <c r="C52" s="26"/>
      <c r="D52" s="27" t="s">
        <v>5</v>
      </c>
      <c r="P52" s="28"/>
      <c r="X52" s="10"/>
      <c r="Y52" s="10"/>
      <c r="Z52" s="10"/>
      <c r="AA52" s="10"/>
      <c r="AB52" s="10"/>
      <c r="AC52" s="10"/>
      <c r="AD52" s="10"/>
      <c r="AE52" s="10"/>
    </row>
    <row r="53" spans="3:31" s="4" customFormat="1" ht="12.75" x14ac:dyDescent="0.2">
      <c r="C53" s="26"/>
      <c r="E53" s="4" t="s">
        <v>6</v>
      </c>
      <c r="F53" s="29"/>
      <c r="H53" s="30"/>
      <c r="I53" s="30">
        <v>23222.899999999998</v>
      </c>
      <c r="J53" s="30">
        <v>23182.6</v>
      </c>
      <c r="K53" s="30">
        <v>25493.699999999997</v>
      </c>
      <c r="L53" s="30">
        <v>24495.457029119996</v>
      </c>
      <c r="M53" s="30">
        <v>25597.752595430396</v>
      </c>
      <c r="N53" s="30">
        <v>26749.651462224763</v>
      </c>
      <c r="O53" s="30">
        <v>27953.385778024873</v>
      </c>
      <c r="P53" s="28"/>
      <c r="W53" s="31"/>
      <c r="X53" s="10"/>
      <c r="Y53" s="10"/>
      <c r="Z53" s="10"/>
      <c r="AA53" s="10"/>
      <c r="AB53" s="10"/>
      <c r="AC53" s="10"/>
      <c r="AD53" s="10"/>
      <c r="AE53" s="10"/>
    </row>
    <row r="54" spans="3:31" s="4" customFormat="1" ht="12.75" x14ac:dyDescent="0.2">
      <c r="C54" s="26"/>
      <c r="E54" s="33" t="s">
        <v>8</v>
      </c>
      <c r="F54" s="34"/>
      <c r="G54" s="33"/>
      <c r="H54" s="35"/>
      <c r="I54" s="36">
        <v>0</v>
      </c>
      <c r="J54" s="36">
        <v>-1.7353560494166587E-3</v>
      </c>
      <c r="K54" s="36">
        <v>9.969114767109799E-2</v>
      </c>
      <c r="L54" s="36">
        <v>-3.9156457119994381E-2</v>
      </c>
      <c r="M54" s="36">
        <v>4.4999999999999929E-2</v>
      </c>
      <c r="N54" s="36">
        <v>4.4999999999999929E-2</v>
      </c>
      <c r="O54" s="36">
        <v>4.4999999999999707E-2</v>
      </c>
      <c r="P54" s="28"/>
      <c r="V54" s="51"/>
      <c r="W54" s="31"/>
      <c r="X54" s="10"/>
      <c r="Y54" s="10"/>
      <c r="Z54" s="10"/>
      <c r="AA54" s="10"/>
      <c r="AB54" s="10"/>
      <c r="AC54" s="10"/>
      <c r="AD54" s="10"/>
      <c r="AE54" s="10"/>
    </row>
    <row r="55" spans="3:31" s="4" customFormat="1" ht="3" customHeight="1" x14ac:dyDescent="0.2">
      <c r="C55" s="26"/>
      <c r="H55" s="39"/>
      <c r="I55" s="39"/>
      <c r="J55" s="39"/>
      <c r="K55" s="39"/>
      <c r="L55" s="39"/>
      <c r="M55" s="39"/>
      <c r="N55" s="39"/>
      <c r="O55" s="39"/>
      <c r="P55" s="28"/>
      <c r="X55" s="10"/>
      <c r="Y55" s="10"/>
      <c r="Z55" s="10"/>
      <c r="AA55" s="10"/>
      <c r="AB55" s="10"/>
      <c r="AC55" s="10"/>
      <c r="AD55" s="10"/>
      <c r="AE55" s="10"/>
    </row>
    <row r="56" spans="3:31" s="4" customFormat="1" ht="3" customHeight="1" x14ac:dyDescent="0.2">
      <c r="C56" s="26"/>
      <c r="H56" s="35"/>
      <c r="I56" s="35"/>
      <c r="J56" s="35"/>
      <c r="K56" s="35"/>
      <c r="L56" s="35"/>
      <c r="M56" s="35"/>
      <c r="N56" s="35"/>
      <c r="O56" s="35"/>
      <c r="P56" s="28"/>
      <c r="X56" s="10"/>
      <c r="Y56" s="10"/>
      <c r="Z56" s="10"/>
      <c r="AA56" s="10"/>
      <c r="AB56" s="10"/>
      <c r="AC56" s="10"/>
      <c r="AD56" s="10"/>
      <c r="AE56" s="10"/>
    </row>
    <row r="57" spans="3:31" s="4" customFormat="1" ht="12.75" x14ac:dyDescent="0.2">
      <c r="C57" s="26"/>
      <c r="E57" s="4" t="s">
        <v>10</v>
      </c>
      <c r="F57" s="29"/>
      <c r="H57" s="30"/>
      <c r="I57" s="30">
        <v>10685.699999999997</v>
      </c>
      <c r="J57" s="30">
        <v>9741.4</v>
      </c>
      <c r="K57" s="30">
        <v>12028.399999999996</v>
      </c>
      <c r="L57" s="30">
        <v>9846.5081971199943</v>
      </c>
      <c r="M57" s="30">
        <v>10430.651765990398</v>
      </c>
      <c r="N57" s="30">
        <v>11041.081795459962</v>
      </c>
      <c r="O57" s="30">
        <v>11678.981176255656</v>
      </c>
      <c r="P57" s="40"/>
      <c r="W57" s="31"/>
      <c r="X57" s="10"/>
      <c r="Y57" s="10"/>
      <c r="Z57" s="10"/>
      <c r="AA57" s="10"/>
      <c r="AB57" s="10"/>
      <c r="AC57" s="10"/>
      <c r="AD57" s="10"/>
      <c r="AE57" s="10"/>
    </row>
    <row r="58" spans="3:31" s="4" customFormat="1" ht="12.75" x14ac:dyDescent="0.2">
      <c r="C58" s="26"/>
      <c r="E58" s="33" t="s">
        <v>11</v>
      </c>
      <c r="F58" s="34"/>
      <c r="G58" s="33"/>
      <c r="H58" s="36"/>
      <c r="I58" s="36">
        <v>0.46013633094919232</v>
      </c>
      <c r="J58" s="36">
        <v>0.42020308334699302</v>
      </c>
      <c r="K58" s="36">
        <v>0.47181852771469018</v>
      </c>
      <c r="L58" s="36">
        <v>0.4019728305299447</v>
      </c>
      <c r="M58" s="36">
        <v>0.40748310724170506</v>
      </c>
      <c r="N58" s="36">
        <v>0.41275609931037499</v>
      </c>
      <c r="O58" s="36">
        <v>0.4178020247349396</v>
      </c>
      <c r="P58" s="41"/>
      <c r="V58" s="51"/>
      <c r="W58" s="31"/>
      <c r="X58" s="10"/>
      <c r="Y58" s="10"/>
      <c r="Z58" s="10"/>
      <c r="AA58" s="10"/>
      <c r="AB58" s="10"/>
      <c r="AC58" s="10"/>
      <c r="AD58" s="10"/>
      <c r="AE58" s="10"/>
    </row>
    <row r="59" spans="3:31" s="4" customFormat="1" ht="12.75" x14ac:dyDescent="0.2">
      <c r="C59" s="26"/>
      <c r="E59" s="33" t="s">
        <v>8</v>
      </c>
      <c r="F59" s="34"/>
      <c r="G59" s="33"/>
      <c r="H59" s="42"/>
      <c r="I59" s="36">
        <v>0</v>
      </c>
      <c r="J59" s="36">
        <v>-8.8370438997912859E-2</v>
      </c>
      <c r="K59" s="36">
        <v>0.23477118278686815</v>
      </c>
      <c r="L59" s="36">
        <v>-0.18139501537029057</v>
      </c>
      <c r="M59" s="36">
        <v>5.9324946181557037E-2</v>
      </c>
      <c r="N59" s="36">
        <v>5.8522712018811429E-2</v>
      </c>
      <c r="O59" s="36">
        <v>5.7775079708040522E-2</v>
      </c>
      <c r="P59" s="41"/>
      <c r="V59" s="51"/>
      <c r="W59" s="31"/>
      <c r="X59" s="10"/>
      <c r="Y59" s="10"/>
      <c r="Z59" s="10"/>
      <c r="AA59" s="10"/>
      <c r="AB59" s="10"/>
      <c r="AC59" s="10"/>
      <c r="AD59" s="10"/>
      <c r="AE59" s="10"/>
    </row>
    <row r="60" spans="3:31" s="4" customFormat="1" ht="3" customHeight="1" x14ac:dyDescent="0.2">
      <c r="C60" s="26"/>
      <c r="H60" s="39"/>
      <c r="I60" s="39"/>
      <c r="J60" s="39"/>
      <c r="K60" s="39"/>
      <c r="L60" s="39"/>
      <c r="M60" s="39"/>
      <c r="N60" s="39"/>
      <c r="O60" s="39"/>
      <c r="P60" s="28"/>
      <c r="X60" s="10"/>
      <c r="Y60" s="10"/>
      <c r="Z60" s="10"/>
      <c r="AA60" s="10"/>
      <c r="AB60" s="10"/>
      <c r="AC60" s="10"/>
      <c r="AD60" s="10"/>
      <c r="AE60" s="10"/>
    </row>
    <row r="61" spans="3:31" s="4" customFormat="1" ht="3" customHeight="1" x14ac:dyDescent="0.2">
      <c r="C61" s="26"/>
      <c r="H61" s="35"/>
      <c r="I61" s="35"/>
      <c r="J61" s="35"/>
      <c r="K61" s="35"/>
      <c r="L61" s="35"/>
      <c r="M61" s="35"/>
      <c r="N61" s="35"/>
      <c r="O61" s="35"/>
      <c r="P61" s="28"/>
      <c r="X61" s="10"/>
      <c r="Y61" s="10"/>
      <c r="Z61" s="10"/>
      <c r="AA61" s="10"/>
      <c r="AB61" s="10"/>
      <c r="AC61" s="10"/>
      <c r="AD61" s="10"/>
      <c r="AE61" s="10"/>
    </row>
    <row r="62" spans="3:31" s="4" customFormat="1" ht="12.75" x14ac:dyDescent="0.2">
      <c r="C62" s="26"/>
      <c r="E62" s="4" t="s">
        <v>12</v>
      </c>
      <c r="F62" s="29"/>
      <c r="H62" s="30"/>
      <c r="I62" s="30">
        <v>7545.199999999998</v>
      </c>
      <c r="J62" s="30">
        <v>6177.4</v>
      </c>
      <c r="K62" s="30">
        <v>8468.7999999999956</v>
      </c>
      <c r="L62" s="30">
        <v>6436.9685675519959</v>
      </c>
      <c r="M62" s="30">
        <v>6841.0902705406961</v>
      </c>
      <c r="N62" s="30">
        <v>7305.4903792446094</v>
      </c>
      <c r="O62" s="30">
        <v>7802.0734490983778</v>
      </c>
      <c r="P62" s="40"/>
      <c r="W62" s="31"/>
      <c r="X62" s="10"/>
      <c r="Y62" s="10"/>
      <c r="Z62" s="10"/>
      <c r="AA62" s="10"/>
      <c r="AB62" s="10"/>
      <c r="AC62" s="10"/>
      <c r="AD62" s="10"/>
      <c r="AE62" s="10"/>
    </row>
    <row r="63" spans="3:31" s="4" customFormat="1" ht="12.75" x14ac:dyDescent="0.2">
      <c r="C63" s="26"/>
      <c r="E63" s="33" t="s">
        <v>11</v>
      </c>
      <c r="F63" s="34"/>
      <c r="G63" s="33"/>
      <c r="H63" s="36"/>
      <c r="I63" s="36">
        <v>0.32490343583273401</v>
      </c>
      <c r="J63" s="36">
        <v>0.26646709169808391</v>
      </c>
      <c r="K63" s="36">
        <v>0.33219187485535628</v>
      </c>
      <c r="L63" s="36">
        <v>0.26278213792458666</v>
      </c>
      <c r="M63" s="36">
        <v>0.26725355067936468</v>
      </c>
      <c r="N63" s="36">
        <v>0.27310600250478978</v>
      </c>
      <c r="O63" s="36">
        <v>0.27911014111327648</v>
      </c>
      <c r="P63" s="40"/>
      <c r="W63" s="31"/>
      <c r="X63" s="10"/>
      <c r="Y63" s="10"/>
      <c r="Z63" s="10"/>
      <c r="AA63" s="10"/>
      <c r="AB63" s="10"/>
      <c r="AC63" s="10"/>
      <c r="AD63" s="10"/>
      <c r="AE63" s="10"/>
    </row>
    <row r="64" spans="3:31" s="4" customFormat="1" ht="12.75" x14ac:dyDescent="0.2">
      <c r="C64" s="26"/>
      <c r="E64" s="33" t="s">
        <v>8</v>
      </c>
      <c r="F64" s="34"/>
      <c r="G64" s="33"/>
      <c r="H64" s="42"/>
      <c r="I64" s="36">
        <v>0</v>
      </c>
      <c r="J64" s="36">
        <v>-0.18128081429253018</v>
      </c>
      <c r="K64" s="36">
        <v>0.37093275488069355</v>
      </c>
      <c r="L64" s="36">
        <v>-0.23991963825429818</v>
      </c>
      <c r="M64" s="36">
        <v>6.2781369638160278E-2</v>
      </c>
      <c r="N64" s="36">
        <v>6.7883932288355542E-2</v>
      </c>
      <c r="O64" s="36">
        <v>6.7973954392520186E-2</v>
      </c>
      <c r="P64" s="40"/>
      <c r="W64" s="31"/>
      <c r="X64" s="10"/>
      <c r="Y64" s="10"/>
      <c r="Z64" s="10"/>
      <c r="AA64" s="10"/>
      <c r="AB64" s="10"/>
      <c r="AC64" s="10"/>
      <c r="AD64" s="10"/>
      <c r="AE64" s="10"/>
    </row>
    <row r="65" spans="2:33" s="4" customFormat="1" ht="3.95" customHeight="1" x14ac:dyDescent="0.2">
      <c r="C65" s="44"/>
      <c r="D65" s="45"/>
      <c r="E65" s="45"/>
      <c r="F65" s="45"/>
      <c r="G65" s="45"/>
      <c r="H65" s="45"/>
      <c r="I65" s="45"/>
      <c r="J65" s="45"/>
      <c r="K65" s="45"/>
      <c r="L65" s="45"/>
      <c r="M65" s="45"/>
      <c r="N65" s="45"/>
      <c r="O65" s="45"/>
      <c r="P65" s="47"/>
      <c r="X65" s="10"/>
      <c r="Y65" s="10"/>
      <c r="Z65" s="10"/>
      <c r="AA65" s="10"/>
      <c r="AB65" s="10"/>
      <c r="AC65" s="10"/>
      <c r="AD65" s="10"/>
      <c r="AE65" s="10"/>
    </row>
    <row r="66" spans="2:33" s="4" customFormat="1" ht="6" customHeight="1" x14ac:dyDescent="0.2">
      <c r="B66" s="49"/>
      <c r="C66" s="49"/>
      <c r="D66" s="49"/>
      <c r="E66" s="49"/>
      <c r="F66" s="49"/>
      <c r="G66" s="49"/>
      <c r="H66" s="49"/>
      <c r="I66" s="49"/>
      <c r="J66" s="49"/>
      <c r="K66" s="49"/>
      <c r="L66" s="49"/>
      <c r="M66" s="49"/>
      <c r="N66" s="49"/>
      <c r="O66" s="49"/>
      <c r="P66" s="49"/>
      <c r="Q66" s="49"/>
      <c r="X66" s="10"/>
      <c r="Y66" s="10"/>
      <c r="Z66" s="10"/>
      <c r="AA66" s="10"/>
      <c r="AB66" s="10"/>
      <c r="AC66" s="10"/>
      <c r="AD66" s="10"/>
      <c r="AE66" s="10"/>
    </row>
    <row r="67" spans="2:33" x14ac:dyDescent="0.25">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row>
  </sheetData>
  <printOptions horizontalCentered="1"/>
  <pageMargins left="0.23622047244094491" right="0.23622047244094491" top="0.23622047244094491" bottom="0.51181102362204722" header="0.23622047244094491" footer="0.23622047244094491"/>
  <pageSetup scale="83" orientation="landscape" r:id="rId1"/>
  <headerFooter>
    <oddFooter>&amp;CPage &amp;P of &amp;N&amp;R&amp;D &amp;T</oddFooter>
  </headerFooter>
  <extLst>
    <ext xmlns:x14="http://schemas.microsoft.com/office/spreadsheetml/2009/9/main" uri="{05C60535-1F16-4fd2-B633-F4F36F0B64E0}">
      <x14:sparklineGroups xmlns:xm="http://schemas.microsoft.com/office/excel/2006/main">
        <x14:sparklineGroup lineWeight="1" displayEmptyCellsAs="gap" high="1" low="1" xr2:uid="{23BCCB54-0FA4-4345-BA74-4081730DCAF7}">
          <x14:colorSeries rgb="FF009966"/>
          <x14:colorNegative rgb="FFD00000"/>
          <x14:colorAxis rgb="FF000000"/>
          <x14:colorMarkers rgb="FFD00000"/>
          <x14:colorFirst rgb="FFD00000"/>
          <x14:colorLast rgb="FFD00000"/>
          <x14:colorHigh rgb="FF5B77CC"/>
          <x14:colorLow rgb="FF5B77CC"/>
          <x14:sparklines>
            <x14:sparkline>
              <xm:f>Summary!H62:O62</xm:f>
              <xm:sqref>F62</xm:sqref>
            </x14:sparkline>
          </x14:sparklines>
        </x14:sparklineGroup>
        <x14:sparklineGroup lineWeight="1" displayEmptyCellsAs="gap" high="1" low="1" xr2:uid="{6BA08FBC-A193-40E3-BC25-1B0DA99A8E8F}">
          <x14:colorSeries rgb="FF009966"/>
          <x14:colorNegative rgb="FFD00000"/>
          <x14:colorAxis rgb="FF000000"/>
          <x14:colorMarkers rgb="FFD00000"/>
          <x14:colorFirst rgb="FFD00000"/>
          <x14:colorLast rgb="FFD00000"/>
          <x14:colorHigh rgb="FF5B77CC"/>
          <x14:colorLow rgb="FF5B77CC"/>
          <x14:sparklines>
            <x14:sparkline>
              <xm:f>Summary!H57:O57</xm:f>
              <xm:sqref>F57</xm:sqref>
            </x14:sparkline>
          </x14:sparklines>
        </x14:sparklineGroup>
        <x14:sparklineGroup lineWeight="1" displayEmptyCellsAs="gap" high="1" low="1" xr2:uid="{122D6062-285F-467C-A15E-9B3C58B3604C}">
          <x14:colorSeries rgb="FF009966"/>
          <x14:colorNegative rgb="FFD00000"/>
          <x14:colorAxis rgb="FF000000"/>
          <x14:colorMarkers rgb="FFD00000"/>
          <x14:colorFirst rgb="FFD00000"/>
          <x14:colorLast rgb="FFD00000"/>
          <x14:colorHigh rgb="FF5B77CC"/>
          <x14:colorLow rgb="FF5B77CC"/>
          <x14:sparklines>
            <x14:sparkline>
              <xm:f>Summary!H53:O53</xm:f>
              <xm:sqref>F53</xm:sqref>
            </x14:sparkline>
          </x14:sparklines>
        </x14:sparklineGroup>
        <x14:sparklineGroup lineWeight="1" displayEmptyCellsAs="gap" high="1" low="1" xr2:uid="{DDC08D0F-4D7D-46EA-8C7B-41EB05696DFE}">
          <x14:colorSeries rgb="FF009966"/>
          <x14:colorNegative rgb="FFD00000"/>
          <x14:colorAxis rgb="FF000000"/>
          <x14:colorMarkers rgb="FFD00000"/>
          <x14:colorFirst rgb="FFD00000"/>
          <x14:colorLast rgb="FFD00000"/>
          <x14:colorHigh rgb="FF5B77CC"/>
          <x14:colorLow rgb="FF5B77CC"/>
          <x14:sparklines>
            <x14:sparkline>
              <xm:f>Summary!H42:O42</xm:f>
              <xm:sqref>F42</xm:sqref>
            </x14:sparkline>
          </x14:sparklines>
        </x14:sparklineGroup>
        <x14:sparklineGroup lineWeight="1" displayEmptyCellsAs="gap" high="1" low="1" xr2:uid="{62EF3484-4BB7-4654-A62C-F43CE915BCE6}">
          <x14:colorSeries rgb="FF009966"/>
          <x14:colorNegative rgb="FFD00000"/>
          <x14:colorAxis rgb="FF000000"/>
          <x14:colorMarkers rgb="FFD00000"/>
          <x14:colorFirst rgb="FFD00000"/>
          <x14:colorLast rgb="FFD00000"/>
          <x14:colorHigh rgb="FF5B77CC"/>
          <x14:colorLow rgb="FF5B77CC"/>
          <x14:sparklines>
            <x14:sparkline>
              <xm:f>Summary!H37:O37</xm:f>
              <xm:sqref>F37</xm:sqref>
            </x14:sparkline>
          </x14:sparklines>
        </x14:sparklineGroup>
        <x14:sparklineGroup lineWeight="1" displayEmptyCellsAs="gap" high="1" low="1" xr2:uid="{DE834145-3806-4C11-B451-11A0011AB510}">
          <x14:colorSeries rgb="FF009966"/>
          <x14:colorNegative rgb="FFD00000"/>
          <x14:colorAxis rgb="FF000000"/>
          <x14:colorMarkers rgb="FFD00000"/>
          <x14:colorFirst rgb="FFD00000"/>
          <x14:colorLast rgb="FFD00000"/>
          <x14:colorHigh rgb="FF5B77CC"/>
          <x14:colorLow rgb="FF5B77CC"/>
          <x14:sparklines>
            <x14:sparkline>
              <xm:f>Summary!H33:O33</xm:f>
              <xm:sqref>F33</xm:sqref>
            </x14:sparkline>
          </x14:sparklines>
        </x14:sparklineGroup>
        <x14:sparklineGroup lineWeight="1" displayEmptyCellsAs="gap" high="1" low="1" xr2:uid="{3D0F7D82-36B1-4E7D-9AD7-EF3BA9DC26E5}">
          <x14:colorSeries rgb="FF009966"/>
          <x14:colorNegative rgb="FFD00000"/>
          <x14:colorAxis rgb="FF000000"/>
          <x14:colorMarkers rgb="FFD00000"/>
          <x14:colorFirst rgb="FFD00000"/>
          <x14:colorLast rgb="FFD00000"/>
          <x14:colorHigh rgb="FF5B77CC"/>
          <x14:colorLow rgb="FF5B77CC"/>
          <x14:sparklines>
            <x14:sparkline>
              <xm:f>Summary!H21:O21</xm:f>
              <xm:sqref>F21</xm:sqref>
            </x14:sparkline>
          </x14:sparklines>
        </x14:sparklineGroup>
        <x14:sparklineGroup lineWeight="1" displayEmptyCellsAs="gap" high="1" low="1" xr2:uid="{94756A55-0700-4EB1-8090-7DE7D01D2DE1}">
          <x14:colorSeries rgb="FF009966"/>
          <x14:colorNegative rgb="FFD00000"/>
          <x14:colorAxis rgb="FF000000"/>
          <x14:colorMarkers rgb="FFD00000"/>
          <x14:colorFirst rgb="FFD00000"/>
          <x14:colorLast rgb="FFD00000"/>
          <x14:colorHigh rgb="FF5B77CC"/>
          <x14:colorLow rgb="FF5B77CC"/>
          <x14:sparklines>
            <x14:sparkline>
              <xm:f>Summary!H12:O12</xm:f>
              <xm:sqref>F12</xm:sqref>
            </x14:sparkline>
          </x14:sparklines>
        </x14:sparklineGroup>
        <x14:sparklineGroup lineWeight="1" displayEmptyCellsAs="gap" high="1" low="1" xr2:uid="{677A98FE-5C2B-4D49-A116-A5EFE83DAE1B}">
          <x14:colorSeries rgb="FF009966"/>
          <x14:colorNegative rgb="FFD00000"/>
          <x14:colorAxis rgb="FF000000"/>
          <x14:colorMarkers rgb="FFD00000"/>
          <x14:colorFirst rgb="FFD00000"/>
          <x14:colorLast rgb="FFD00000"/>
          <x14:colorHigh rgb="FF5B77CC"/>
          <x14:colorLow rgb="FF5B77CC"/>
          <x14:sparklines>
            <x14:sparkline>
              <xm:f>Summary!H16:O16</xm:f>
              <xm:sqref>F16</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64285-3F0D-4E5C-A472-4F632901D8F0}">
  <dimension ref="A1:Q96"/>
  <sheetViews>
    <sheetView showGridLines="0" view="pageBreakPreview" zoomScaleNormal="100" zoomScaleSheetLayoutView="100" workbookViewId="0">
      <selection activeCell="H66" sqref="H66"/>
    </sheetView>
  </sheetViews>
  <sheetFormatPr defaultRowHeight="15" x14ac:dyDescent="0.25"/>
  <cols>
    <col min="1" max="1" width="2.5703125" customWidth="1"/>
    <col min="2" max="2" width="5.5703125" customWidth="1"/>
    <col min="3" max="3" width="2.140625" customWidth="1"/>
    <col min="4" max="4" width="13.42578125" customWidth="1"/>
    <col min="5" max="14" width="10.42578125" customWidth="1"/>
    <col min="15" max="15" width="5.5703125" customWidth="1"/>
  </cols>
  <sheetData>
    <row r="1" spans="2:17" s="54" customFormat="1" ht="22.5" customHeight="1" x14ac:dyDescent="0.35">
      <c r="B1" s="55" t="str">
        <f>Summary!B1</f>
        <v>McDonald's Corporation</v>
      </c>
      <c r="C1" s="56"/>
      <c r="D1" s="57"/>
      <c r="E1" s="57"/>
      <c r="F1" s="57"/>
      <c r="G1" s="57"/>
      <c r="H1" s="57"/>
      <c r="I1" s="57"/>
      <c r="J1" s="57"/>
      <c r="K1" s="57"/>
      <c r="L1" s="57"/>
      <c r="M1" s="57"/>
      <c r="N1" s="57"/>
      <c r="O1" s="57"/>
    </row>
    <row r="2" spans="2:17" s="54" customFormat="1" ht="18.75" customHeight="1" x14ac:dyDescent="0.25">
      <c r="B2" s="58" t="s">
        <v>15</v>
      </c>
      <c r="C2" s="58"/>
      <c r="D2" s="57"/>
      <c r="E2" s="57"/>
      <c r="F2" s="57"/>
      <c r="G2" s="57"/>
      <c r="H2" s="57"/>
      <c r="I2" s="57"/>
      <c r="J2" s="57"/>
      <c r="K2" s="57"/>
      <c r="L2" s="57"/>
      <c r="M2" s="57"/>
      <c r="N2" s="57"/>
      <c r="O2" s="57"/>
    </row>
    <row r="3" spans="2:17" s="54" customFormat="1" ht="3" customHeight="1" thickBot="1" x14ac:dyDescent="0.3">
      <c r="B3" s="59"/>
      <c r="C3" s="59"/>
      <c r="D3" s="60"/>
      <c r="E3" s="60"/>
      <c r="F3" s="60"/>
      <c r="G3" s="60"/>
      <c r="H3" s="60"/>
      <c r="I3" s="60"/>
      <c r="J3" s="60"/>
      <c r="K3" s="60"/>
      <c r="L3" s="60"/>
      <c r="M3" s="60"/>
      <c r="N3" s="60"/>
      <c r="O3" s="60"/>
    </row>
    <row r="4" spans="2:17" s="54" customFormat="1" ht="12" customHeight="1" x14ac:dyDescent="0.25"/>
    <row r="5" spans="2:17" s="54" customFormat="1" ht="15.95" customHeight="1" x14ac:dyDescent="0.25">
      <c r="C5" s="472" t="s">
        <v>16</v>
      </c>
      <c r="D5" s="473"/>
      <c r="E5" s="473"/>
      <c r="F5" s="473"/>
      <c r="G5" s="473"/>
      <c r="H5" s="474"/>
      <c r="J5" s="472" t="s">
        <v>17</v>
      </c>
      <c r="K5" s="473"/>
      <c r="L5" s="473"/>
      <c r="M5" s="473"/>
      <c r="N5" s="474"/>
    </row>
    <row r="6" spans="2:17" s="54" customFormat="1" ht="3" customHeight="1" x14ac:dyDescent="0.25">
      <c r="C6" s="475"/>
      <c r="D6" s="476"/>
      <c r="E6" s="476"/>
      <c r="F6" s="476"/>
      <c r="G6" s="476"/>
      <c r="H6" s="477"/>
      <c r="J6" s="475"/>
      <c r="K6" s="476"/>
      <c r="L6" s="476"/>
      <c r="M6" s="476"/>
      <c r="N6" s="477"/>
    </row>
    <row r="7" spans="2:17" s="54" customFormat="1" ht="3" customHeight="1" x14ac:dyDescent="0.25">
      <c r="C7" s="478"/>
      <c r="D7" s="479"/>
      <c r="E7" s="479"/>
      <c r="F7" s="479"/>
      <c r="G7" s="479"/>
      <c r="H7" s="480"/>
      <c r="J7" s="478"/>
      <c r="K7" s="479"/>
      <c r="L7" s="479"/>
      <c r="M7" s="479"/>
      <c r="N7" s="480"/>
    </row>
    <row r="8" spans="2:17" s="54" customFormat="1" ht="14.1" customHeight="1" x14ac:dyDescent="0.25">
      <c r="C8" s="61" t="s">
        <v>18</v>
      </c>
      <c r="D8" s="62" t="s">
        <v>19</v>
      </c>
      <c r="G8" s="518" t="s">
        <v>276</v>
      </c>
      <c r="H8" s="519">
        <v>2024</v>
      </c>
      <c r="J8" s="64" t="s">
        <v>212</v>
      </c>
      <c r="L8" s="517" t="s">
        <v>294</v>
      </c>
      <c r="M8" s="449">
        <v>45579</v>
      </c>
      <c r="N8" s="571">
        <v>312.92</v>
      </c>
      <c r="Q8" s="367"/>
    </row>
    <row r="9" spans="2:17" s="54" customFormat="1" ht="14.1" customHeight="1" x14ac:dyDescent="0.25">
      <c r="C9" s="61" t="s">
        <v>18</v>
      </c>
      <c r="D9" s="66" t="s">
        <v>20</v>
      </c>
      <c r="H9" s="63"/>
      <c r="J9" s="64"/>
      <c r="N9" s="67"/>
    </row>
    <row r="10" spans="2:17" s="54" customFormat="1" ht="14.1" customHeight="1" x14ac:dyDescent="0.25">
      <c r="C10" s="68"/>
      <c r="D10" s="69" t="s">
        <v>21</v>
      </c>
      <c r="E10" s="70"/>
      <c r="F10" s="70"/>
      <c r="G10" s="70"/>
      <c r="H10" s="71"/>
      <c r="J10" s="72" t="s">
        <v>281</v>
      </c>
      <c r="K10" s="70"/>
      <c r="L10" s="70"/>
      <c r="M10" s="73"/>
      <c r="N10" s="74">
        <v>0.5</v>
      </c>
    </row>
    <row r="11" spans="2:17" s="54" customFormat="1" ht="14.1" customHeight="1" x14ac:dyDescent="0.25">
      <c r="M11" s="65"/>
      <c r="N11" s="75"/>
    </row>
    <row r="12" spans="2:17" s="54" customFormat="1" ht="6" customHeight="1" x14ac:dyDescent="0.25">
      <c r="M12" s="65"/>
      <c r="N12" s="75"/>
    </row>
    <row r="13" spans="2:17" s="76" customFormat="1" ht="15.95" customHeight="1" x14ac:dyDescent="0.25">
      <c r="C13" s="472" t="s">
        <v>22</v>
      </c>
      <c r="D13" s="473"/>
      <c r="E13" s="473"/>
      <c r="F13" s="473"/>
      <c r="G13" s="473"/>
      <c r="H13" s="474"/>
      <c r="J13" s="472" t="s">
        <v>35</v>
      </c>
      <c r="K13" s="473"/>
      <c r="L13" s="473"/>
      <c r="M13" s="473"/>
      <c r="N13" s="474"/>
    </row>
    <row r="14" spans="2:17" s="76" customFormat="1" ht="3" customHeight="1" x14ac:dyDescent="0.25">
      <c r="C14" s="475"/>
      <c r="D14" s="476"/>
      <c r="E14" s="476"/>
      <c r="F14" s="476"/>
      <c r="G14" s="476"/>
      <c r="H14" s="477"/>
      <c r="J14" s="475"/>
      <c r="K14" s="476"/>
      <c r="L14" s="476"/>
      <c r="M14" s="476"/>
      <c r="N14" s="477"/>
    </row>
    <row r="15" spans="2:17" s="76" customFormat="1" ht="3" customHeight="1" x14ac:dyDescent="0.25">
      <c r="C15" s="478"/>
      <c r="D15" s="479"/>
      <c r="E15" s="479"/>
      <c r="F15" s="479"/>
      <c r="G15" s="479"/>
      <c r="H15" s="480"/>
      <c r="J15" s="478"/>
      <c r="K15" s="479"/>
      <c r="L15" s="479"/>
      <c r="M15" s="479"/>
      <c r="N15" s="480"/>
    </row>
    <row r="16" spans="2:17" s="54" customFormat="1" ht="14.1" customHeight="1" x14ac:dyDescent="0.25">
      <c r="C16" s="61" t="s">
        <v>18</v>
      </c>
      <c r="D16" s="66" t="s">
        <v>274</v>
      </c>
      <c r="H16" s="63"/>
      <c r="J16" s="77" t="s">
        <v>245</v>
      </c>
      <c r="N16" s="94">
        <v>0.15</v>
      </c>
    </row>
    <row r="17" spans="3:15" s="54" customFormat="1" ht="14.1" customHeight="1" x14ac:dyDescent="0.25">
      <c r="C17" s="61"/>
      <c r="D17" s="66" t="s">
        <v>275</v>
      </c>
      <c r="H17" s="63"/>
      <c r="J17" s="77"/>
      <c r="N17" s="94"/>
    </row>
    <row r="18" spans="3:15" s="54" customFormat="1" ht="14.1" customHeight="1" x14ac:dyDescent="0.25">
      <c r="C18" s="86" t="s">
        <v>23</v>
      </c>
      <c r="D18" s="66"/>
      <c r="E18" s="87"/>
      <c r="F18" s="54" t="s">
        <v>65</v>
      </c>
      <c r="G18" s="54" t="s">
        <v>185</v>
      </c>
      <c r="H18" s="63"/>
      <c r="J18" s="77"/>
      <c r="N18" s="78"/>
    </row>
    <row r="19" spans="3:15" s="79" customFormat="1" x14ac:dyDescent="0.25">
      <c r="C19" s="80" t="s">
        <v>24</v>
      </c>
      <c r="D19" s="54"/>
      <c r="E19" s="54"/>
      <c r="F19" s="462" t="s">
        <v>248</v>
      </c>
      <c r="G19" s="462" t="s">
        <v>248</v>
      </c>
      <c r="H19" s="81"/>
      <c r="I19" s="82"/>
      <c r="J19" s="411"/>
      <c r="K19" s="54"/>
      <c r="L19" s="54"/>
      <c r="M19" s="54"/>
      <c r="N19" s="413"/>
      <c r="O19" s="54"/>
    </row>
    <row r="20" spans="3:15" s="54" customFormat="1" ht="14.1" customHeight="1" x14ac:dyDescent="0.25">
      <c r="C20" s="80" t="s">
        <v>25</v>
      </c>
      <c r="F20" s="425">
        <v>0.04</v>
      </c>
      <c r="G20" s="425">
        <v>0.04</v>
      </c>
      <c r="H20" s="81" t="s">
        <v>26</v>
      </c>
      <c r="I20" s="62"/>
      <c r="J20" s="411"/>
      <c r="N20" s="413"/>
    </row>
    <row r="21" spans="3:15" s="54" customFormat="1" ht="15.6" customHeight="1" x14ac:dyDescent="0.25">
      <c r="C21" s="83" t="s">
        <v>27</v>
      </c>
      <c r="D21" s="70"/>
      <c r="E21" s="70"/>
      <c r="F21" s="463">
        <v>-0.04</v>
      </c>
      <c r="G21" s="463">
        <v>-0.04</v>
      </c>
      <c r="H21" s="84" t="s">
        <v>26</v>
      </c>
      <c r="I21" s="62"/>
      <c r="J21" s="412"/>
      <c r="K21" s="70"/>
      <c r="L21" s="70"/>
      <c r="M21" s="70"/>
      <c r="N21" s="414"/>
    </row>
    <row r="22" spans="3:15" s="54" customFormat="1" ht="14.1" customHeight="1" x14ac:dyDescent="0.25">
      <c r="I22" s="62"/>
    </row>
    <row r="23" spans="3:15" s="54" customFormat="1" ht="6" customHeight="1" x14ac:dyDescent="0.25">
      <c r="I23" s="62"/>
    </row>
    <row r="24" spans="3:15" s="76" customFormat="1" ht="15.95" customHeight="1" x14ac:dyDescent="0.25">
      <c r="C24" s="472" t="s">
        <v>28</v>
      </c>
      <c r="D24" s="473"/>
      <c r="E24" s="473"/>
      <c r="F24" s="473"/>
      <c r="G24" s="473"/>
      <c r="H24" s="474"/>
    </row>
    <row r="25" spans="3:15" s="54" customFormat="1" ht="3" customHeight="1" x14ac:dyDescent="0.25">
      <c r="C25" s="475"/>
      <c r="D25" s="476"/>
      <c r="E25" s="476"/>
      <c r="F25" s="476"/>
      <c r="G25" s="476"/>
      <c r="H25" s="477"/>
    </row>
    <row r="26" spans="3:15" s="54" customFormat="1" ht="3" customHeight="1" x14ac:dyDescent="0.25">
      <c r="C26" s="478"/>
      <c r="D26" s="479"/>
      <c r="E26" s="479"/>
      <c r="F26" s="479"/>
      <c r="G26" s="479"/>
      <c r="H26" s="480"/>
    </row>
    <row r="27" spans="3:15" s="54" customFormat="1" ht="15.6" customHeight="1" x14ac:dyDescent="0.25">
      <c r="C27" s="88" t="s">
        <v>29</v>
      </c>
      <c r="G27" s="89"/>
      <c r="H27" s="90">
        <v>3.5000000000000003E-2</v>
      </c>
    </row>
    <row r="28" spans="3:15" s="54" customFormat="1" ht="14.1" customHeight="1" x14ac:dyDescent="0.25">
      <c r="C28" s="91" t="s">
        <v>30</v>
      </c>
      <c r="H28" s="90">
        <v>0.06</v>
      </c>
    </row>
    <row r="29" spans="3:15" s="54" customFormat="1" ht="14.1" customHeight="1" x14ac:dyDescent="0.25">
      <c r="C29" s="91" t="s">
        <v>201</v>
      </c>
      <c r="H29" s="90">
        <v>0.04</v>
      </c>
    </row>
    <row r="30" spans="3:15" s="54" customFormat="1" ht="14.1" customHeight="1" x14ac:dyDescent="0.25">
      <c r="C30" s="91" t="s">
        <v>32</v>
      </c>
      <c r="H30" s="90">
        <v>5.5E-2</v>
      </c>
    </row>
    <row r="31" spans="3:15" s="54" customFormat="1" ht="15.6" customHeight="1" x14ac:dyDescent="0.25">
      <c r="C31" s="64"/>
      <c r="H31" s="90"/>
    </row>
    <row r="32" spans="3:15" s="54" customFormat="1" ht="14.1" customHeight="1" x14ac:dyDescent="0.25">
      <c r="C32" s="64"/>
      <c r="H32" s="90"/>
    </row>
    <row r="33" spans="2:15" s="54" customFormat="1" ht="15.6" customHeight="1" x14ac:dyDescent="0.25">
      <c r="C33" s="72"/>
      <c r="D33" s="70"/>
      <c r="E33" s="70"/>
      <c r="F33" s="70"/>
      <c r="G33" s="70"/>
      <c r="H33" s="71"/>
    </row>
    <row r="34" spans="2:15" s="54" customFormat="1" ht="14.1" customHeight="1" x14ac:dyDescent="0.25"/>
    <row r="35" spans="2:15" s="54" customFormat="1" ht="6" customHeight="1" x14ac:dyDescent="0.25"/>
    <row r="36" spans="2:15" s="76" customFormat="1" ht="15.95" customHeight="1" x14ac:dyDescent="0.25">
      <c r="C36" s="472" t="s">
        <v>34</v>
      </c>
      <c r="D36" s="473"/>
      <c r="E36" s="473"/>
      <c r="F36" s="473"/>
      <c r="G36" s="473"/>
      <c r="H36" s="474"/>
    </row>
    <row r="37" spans="2:15" s="54" customFormat="1" ht="3" customHeight="1" x14ac:dyDescent="0.25">
      <c r="C37" s="475"/>
      <c r="D37" s="476"/>
      <c r="E37" s="476"/>
      <c r="F37" s="476"/>
      <c r="G37" s="476"/>
      <c r="H37" s="477"/>
    </row>
    <row r="38" spans="2:15" s="54" customFormat="1" ht="3" customHeight="1" x14ac:dyDescent="0.25">
      <c r="C38" s="478"/>
      <c r="D38" s="479"/>
      <c r="E38" s="479"/>
      <c r="F38" s="479"/>
      <c r="G38" s="479"/>
      <c r="H38" s="480"/>
    </row>
    <row r="39" spans="2:15" s="54" customFormat="1" ht="14.1" customHeight="1" x14ac:dyDescent="0.25">
      <c r="C39" s="61" t="s">
        <v>18</v>
      </c>
      <c r="D39" s="66" t="s">
        <v>36</v>
      </c>
      <c r="H39" s="469" t="s">
        <v>37</v>
      </c>
    </row>
    <row r="40" spans="2:15" s="54" customFormat="1" ht="14.1" customHeight="1" x14ac:dyDescent="0.25">
      <c r="C40" s="61" t="s">
        <v>18</v>
      </c>
      <c r="D40" s="92" t="s">
        <v>38</v>
      </c>
      <c r="H40" s="93">
        <v>20</v>
      </c>
      <c r="J40" s="76"/>
      <c r="K40" s="76"/>
      <c r="L40" s="76"/>
      <c r="M40" s="76"/>
      <c r="N40" s="76"/>
    </row>
    <row r="41" spans="2:15" s="54" customFormat="1" ht="14.1" customHeight="1" x14ac:dyDescent="0.25">
      <c r="C41" s="61" t="s">
        <v>18</v>
      </c>
      <c r="D41" s="92" t="s">
        <v>39</v>
      </c>
      <c r="H41" s="93">
        <v>40</v>
      </c>
      <c r="J41" s="76"/>
      <c r="K41" s="76"/>
      <c r="L41" s="76"/>
      <c r="M41" s="76"/>
      <c r="N41" s="76"/>
    </row>
    <row r="42" spans="2:15" s="54" customFormat="1" ht="14.1" customHeight="1" x14ac:dyDescent="0.25">
      <c r="C42" s="61" t="s">
        <v>18</v>
      </c>
      <c r="D42" s="92" t="s">
        <v>342</v>
      </c>
      <c r="H42" s="611">
        <v>0.8</v>
      </c>
      <c r="J42" s="76"/>
      <c r="K42" s="76"/>
      <c r="L42" s="76"/>
      <c r="M42" s="76"/>
      <c r="N42" s="76"/>
    </row>
    <row r="43" spans="2:15" s="54" customFormat="1" ht="14.1" customHeight="1" x14ac:dyDescent="0.25">
      <c r="C43" s="68" t="s">
        <v>18</v>
      </c>
      <c r="D43" s="95" t="s">
        <v>196</v>
      </c>
      <c r="E43" s="70"/>
      <c r="F43" s="70"/>
      <c r="G43" s="70"/>
      <c r="H43" s="96">
        <v>10</v>
      </c>
      <c r="J43" s="76"/>
      <c r="K43" s="76"/>
      <c r="L43" s="76"/>
      <c r="M43" s="76"/>
      <c r="N43" s="76"/>
    </row>
    <row r="44" spans="2:15" s="54" customFormat="1" ht="15" customHeight="1" x14ac:dyDescent="0.25">
      <c r="B44" s="97"/>
      <c r="C44" s="97"/>
      <c r="D44" s="98"/>
      <c r="E44" s="99"/>
      <c r="F44" s="99"/>
      <c r="G44" s="99"/>
      <c r="H44" s="99"/>
      <c r="I44" s="97"/>
      <c r="J44" s="97"/>
      <c r="K44" s="97"/>
      <c r="L44" s="97"/>
      <c r="M44" s="97"/>
      <c r="N44" s="97"/>
      <c r="O44" s="97"/>
    </row>
    <row r="45" spans="2:15" s="54" customFormat="1" ht="14.1" customHeight="1" x14ac:dyDescent="0.25">
      <c r="C45" s="100"/>
      <c r="D45" s="92"/>
      <c r="H45" s="101"/>
    </row>
    <row r="46" spans="2:15" s="54" customFormat="1" ht="14.1" customHeight="1" x14ac:dyDescent="0.25">
      <c r="C46" s="100"/>
      <c r="J46" s="102"/>
    </row>
    <row r="47" spans="2:15" s="54" customFormat="1" ht="22.5" customHeight="1" x14ac:dyDescent="0.35">
      <c r="B47" s="55" t="str">
        <f>$B$1</f>
        <v>McDonald's Corporation</v>
      </c>
      <c r="C47" s="56"/>
      <c r="D47" s="57"/>
      <c r="E47" s="57"/>
      <c r="F47" s="57"/>
      <c r="G47" s="57"/>
      <c r="H47" s="57"/>
      <c r="I47" s="57"/>
      <c r="J47" s="57"/>
      <c r="K47" s="57"/>
      <c r="L47" s="57"/>
      <c r="M47" s="57"/>
      <c r="N47" s="57"/>
      <c r="O47" s="57"/>
    </row>
    <row r="48" spans="2:15" s="54" customFormat="1" ht="18.75" customHeight="1" x14ac:dyDescent="0.25">
      <c r="B48" s="58" t="s">
        <v>15</v>
      </c>
      <c r="C48" s="58"/>
      <c r="D48" s="57"/>
      <c r="E48" s="57"/>
      <c r="F48" s="57"/>
      <c r="G48" s="57"/>
      <c r="H48" s="57"/>
      <c r="I48" s="57"/>
      <c r="J48" s="57"/>
      <c r="K48" s="57"/>
      <c r="L48" s="57"/>
      <c r="M48" s="57"/>
      <c r="N48" s="57"/>
      <c r="O48" s="57"/>
    </row>
    <row r="49" spans="2:17" s="54" customFormat="1" ht="3" customHeight="1" thickBot="1" x14ac:dyDescent="0.3">
      <c r="B49" s="59"/>
      <c r="C49" s="59"/>
      <c r="D49" s="60"/>
      <c r="E49" s="60"/>
      <c r="F49" s="60"/>
      <c r="G49" s="60"/>
      <c r="H49" s="60"/>
      <c r="I49" s="60"/>
      <c r="J49" s="60"/>
      <c r="K49" s="60"/>
      <c r="L49" s="60"/>
      <c r="M49" s="60"/>
      <c r="N49" s="60"/>
      <c r="O49" s="60"/>
    </row>
    <row r="50" spans="2:17" s="54" customFormat="1" ht="12" customHeight="1" x14ac:dyDescent="0.25">
      <c r="C50" s="100"/>
      <c r="J50" s="102"/>
    </row>
    <row r="51" spans="2:17" s="76" customFormat="1" ht="15.95" customHeight="1" x14ac:dyDescent="0.25">
      <c r="C51" s="472" t="s">
        <v>40</v>
      </c>
      <c r="D51" s="506"/>
      <c r="E51" s="506"/>
      <c r="F51" s="506"/>
      <c r="G51" s="506"/>
      <c r="H51" s="506"/>
      <c r="I51" s="506"/>
      <c r="J51" s="507">
        <f>H8</f>
        <v>2024</v>
      </c>
      <c r="K51" s="507">
        <f>J51+1</f>
        <v>2025</v>
      </c>
      <c r="L51" s="507">
        <f>K51+1</f>
        <v>2026</v>
      </c>
      <c r="M51" s="507">
        <f>L51+1</f>
        <v>2027</v>
      </c>
      <c r="N51" s="508">
        <f>M51+1</f>
        <v>2028</v>
      </c>
      <c r="Q51" s="368"/>
    </row>
    <row r="52" spans="2:17" s="76" customFormat="1" ht="3" customHeight="1" x14ac:dyDescent="0.25">
      <c r="C52" s="475"/>
      <c r="D52" s="476"/>
      <c r="E52" s="476"/>
      <c r="F52" s="476"/>
      <c r="G52" s="476"/>
      <c r="H52" s="477"/>
      <c r="I52" s="477"/>
      <c r="J52" s="477"/>
      <c r="K52" s="477"/>
      <c r="L52" s="477"/>
      <c r="M52" s="477"/>
      <c r="N52" s="477"/>
      <c r="Q52" s="368"/>
    </row>
    <row r="53" spans="2:17" s="76" customFormat="1" ht="3" customHeight="1" x14ac:dyDescent="0.25">
      <c r="C53" s="478"/>
      <c r="D53" s="479"/>
      <c r="E53" s="479"/>
      <c r="F53" s="479"/>
      <c r="G53" s="479"/>
      <c r="H53" s="479"/>
      <c r="I53" s="479"/>
      <c r="J53" s="479"/>
      <c r="K53" s="479"/>
      <c r="L53" s="479"/>
      <c r="M53" s="479"/>
      <c r="N53" s="480"/>
      <c r="Q53" s="368"/>
    </row>
    <row r="54" spans="2:17" s="54" customFormat="1" ht="8.1" customHeight="1" x14ac:dyDescent="0.25">
      <c r="C54" s="64"/>
      <c r="L54" s="102"/>
      <c r="N54" s="63"/>
    </row>
    <row r="55" spans="2:17" s="54" customFormat="1" ht="14.1" customHeight="1" x14ac:dyDescent="0.25">
      <c r="C55" s="103" t="s">
        <v>41</v>
      </c>
      <c r="J55" s="104"/>
      <c r="K55" s="104"/>
      <c r="L55" s="104"/>
      <c r="M55" s="104"/>
      <c r="N55" s="105"/>
      <c r="Q55" s="369"/>
    </row>
    <row r="56" spans="2:17" s="54" customFormat="1" ht="14.1" customHeight="1" x14ac:dyDescent="0.25">
      <c r="C56" s="103"/>
      <c r="D56" s="54" t="s">
        <v>42</v>
      </c>
      <c r="G56" s="54" t="s">
        <v>31</v>
      </c>
      <c r="J56" s="423">
        <v>0</v>
      </c>
      <c r="K56" s="423">
        <v>0</v>
      </c>
      <c r="L56" s="423">
        <v>0</v>
      </c>
      <c r="M56" s="423">
        <v>0</v>
      </c>
      <c r="N56" s="424">
        <v>0</v>
      </c>
    </row>
    <row r="57" spans="2:17" s="54" customFormat="1" ht="14.1" customHeight="1" x14ac:dyDescent="0.25">
      <c r="C57" s="103"/>
      <c r="D57" s="434"/>
      <c r="J57" s="432"/>
      <c r="K57" s="513"/>
      <c r="L57" s="513"/>
      <c r="M57" s="513"/>
      <c r="N57" s="514"/>
    </row>
    <row r="58" spans="2:17" s="54" customFormat="1" ht="6" customHeight="1" x14ac:dyDescent="0.25">
      <c r="C58" s="64"/>
      <c r="L58" s="102"/>
      <c r="N58" s="63"/>
    </row>
    <row r="59" spans="2:17" s="54" customFormat="1" ht="14.1" customHeight="1" x14ac:dyDescent="0.25">
      <c r="C59" s="103" t="s">
        <v>43</v>
      </c>
      <c r="J59" s="104"/>
      <c r="K59" s="104"/>
      <c r="L59" s="104"/>
      <c r="M59" s="104"/>
      <c r="N59" s="105"/>
      <c r="Q59" s="369"/>
    </row>
    <row r="60" spans="2:17" s="54" customFormat="1" ht="14.1" customHeight="1" x14ac:dyDescent="0.25">
      <c r="C60" s="103"/>
      <c r="D60" s="54" t="s">
        <v>200</v>
      </c>
      <c r="G60" s="54" t="s">
        <v>31</v>
      </c>
      <c r="J60" s="423">
        <v>0</v>
      </c>
      <c r="K60" s="423">
        <v>0</v>
      </c>
      <c r="L60" s="423">
        <v>0</v>
      </c>
      <c r="M60" s="423">
        <v>0</v>
      </c>
      <c r="N60" s="424">
        <v>0</v>
      </c>
      <c r="Q60" s="369"/>
    </row>
    <row r="61" spans="2:17" s="54" customFormat="1" ht="14.1" customHeight="1" x14ac:dyDescent="0.25">
      <c r="C61" s="103"/>
      <c r="D61" s="54" t="s">
        <v>175</v>
      </c>
      <c r="G61" s="54" t="s">
        <v>31</v>
      </c>
      <c r="J61" s="423">
        <v>600</v>
      </c>
      <c r="K61" s="423">
        <v>600</v>
      </c>
      <c r="L61" s="423">
        <v>600</v>
      </c>
      <c r="M61" s="423">
        <v>600</v>
      </c>
      <c r="N61" s="424">
        <v>600</v>
      </c>
      <c r="Q61" s="369"/>
    </row>
    <row r="62" spans="2:17" s="54" customFormat="1" ht="14.1" customHeight="1" x14ac:dyDescent="0.25">
      <c r="C62" s="103"/>
      <c r="D62" s="54" t="s">
        <v>176</v>
      </c>
      <c r="G62" s="54" t="s">
        <v>31</v>
      </c>
      <c r="J62" s="423">
        <v>400</v>
      </c>
      <c r="K62" s="423">
        <v>400</v>
      </c>
      <c r="L62" s="423">
        <v>400</v>
      </c>
      <c r="M62" s="423">
        <v>400</v>
      </c>
      <c r="N62" s="424">
        <v>400</v>
      </c>
      <c r="Q62" s="369"/>
    </row>
    <row r="63" spans="2:17" s="54" customFormat="1" ht="14.1" customHeight="1" x14ac:dyDescent="0.25">
      <c r="C63" s="103"/>
      <c r="D63" s="54" t="s">
        <v>244</v>
      </c>
      <c r="G63" s="54" t="s">
        <v>31</v>
      </c>
      <c r="I63" s="518"/>
      <c r="J63" s="423">
        <v>500</v>
      </c>
      <c r="K63" s="423">
        <v>500</v>
      </c>
      <c r="L63" s="423">
        <v>500</v>
      </c>
      <c r="M63" s="423">
        <v>500</v>
      </c>
      <c r="N63" s="424">
        <v>500</v>
      </c>
    </row>
    <row r="64" spans="2:17" s="54" customFormat="1" ht="14.1" customHeight="1" x14ac:dyDescent="0.25">
      <c r="C64" s="103"/>
      <c r="D64" s="54" t="s">
        <v>173</v>
      </c>
      <c r="G64" s="54" t="s">
        <v>31</v>
      </c>
      <c r="I64" s="518"/>
      <c r="J64" s="423">
        <v>180</v>
      </c>
      <c r="K64" s="423">
        <v>200</v>
      </c>
      <c r="L64" s="423">
        <v>225</v>
      </c>
      <c r="M64" s="423">
        <v>250</v>
      </c>
      <c r="N64" s="424">
        <v>300</v>
      </c>
    </row>
    <row r="65" spans="3:17" s="54" customFormat="1" ht="6" customHeight="1" x14ac:dyDescent="0.25">
      <c r="C65" s="64"/>
      <c r="L65" s="102"/>
      <c r="N65" s="63"/>
    </row>
    <row r="66" spans="3:17" s="54" customFormat="1" ht="13.5" customHeight="1" x14ac:dyDescent="0.25">
      <c r="C66" s="103" t="s">
        <v>99</v>
      </c>
      <c r="L66" s="102"/>
      <c r="N66" s="63"/>
    </row>
    <row r="67" spans="3:17" s="54" customFormat="1" ht="14.1" customHeight="1" x14ac:dyDescent="0.25">
      <c r="C67" s="103"/>
      <c r="D67" s="54" t="s">
        <v>44</v>
      </c>
      <c r="G67" s="54" t="s">
        <v>31</v>
      </c>
      <c r="J67" s="423">
        <v>2500</v>
      </c>
      <c r="K67" s="423">
        <f>J67*1.1</f>
        <v>2750</v>
      </c>
      <c r="L67" s="423">
        <f t="shared" ref="L67:N67" si="0">K67*1.1</f>
        <v>3025.0000000000005</v>
      </c>
      <c r="M67" s="423">
        <f t="shared" si="0"/>
        <v>3327.5000000000009</v>
      </c>
      <c r="N67" s="424">
        <f t="shared" si="0"/>
        <v>3660.2500000000014</v>
      </c>
      <c r="Q67" s="369"/>
    </row>
    <row r="68" spans="3:17" s="54" customFormat="1" ht="14.1" customHeight="1" x14ac:dyDescent="0.25">
      <c r="C68" s="103"/>
      <c r="D68" s="54" t="s">
        <v>193</v>
      </c>
      <c r="G68" s="54" t="s">
        <v>31</v>
      </c>
      <c r="J68" s="423">
        <v>0</v>
      </c>
      <c r="K68" s="423">
        <v>0</v>
      </c>
      <c r="L68" s="423">
        <v>0</v>
      </c>
      <c r="M68" s="423">
        <v>0</v>
      </c>
      <c r="N68" s="424">
        <v>0</v>
      </c>
      <c r="Q68" s="369"/>
    </row>
    <row r="69" spans="3:17" s="54" customFormat="1" ht="14.1" customHeight="1" x14ac:dyDescent="0.25">
      <c r="C69" s="103"/>
      <c r="J69" s="423"/>
      <c r="K69" s="423"/>
      <c r="L69" s="423"/>
      <c r="M69" s="423"/>
      <c r="N69" s="424"/>
      <c r="Q69" s="369"/>
    </row>
    <row r="70" spans="3:17" s="54" customFormat="1" ht="6" customHeight="1" x14ac:dyDescent="0.25">
      <c r="C70" s="64"/>
      <c r="L70" s="102"/>
      <c r="N70" s="63"/>
    </row>
    <row r="71" spans="3:17" s="54" customFormat="1" ht="14.25" customHeight="1" x14ac:dyDescent="0.25">
      <c r="C71" s="103" t="s">
        <v>45</v>
      </c>
      <c r="L71" s="102"/>
      <c r="N71" s="63"/>
    </row>
    <row r="72" spans="3:17" s="54" customFormat="1" ht="14.25" customHeight="1" x14ac:dyDescent="0.25">
      <c r="C72" s="64"/>
      <c r="D72" s="54" t="s">
        <v>46</v>
      </c>
      <c r="G72" s="54" t="s">
        <v>31</v>
      </c>
      <c r="J72" s="423">
        <v>-3000</v>
      </c>
      <c r="K72" s="423">
        <v>-3000</v>
      </c>
      <c r="L72" s="423">
        <v>-3000</v>
      </c>
      <c r="M72" s="423">
        <v>-3000</v>
      </c>
      <c r="N72" s="424">
        <v>-3000</v>
      </c>
    </row>
    <row r="73" spans="3:17" s="54" customFormat="1" ht="6" customHeight="1" x14ac:dyDescent="0.25">
      <c r="C73" s="64"/>
      <c r="L73" s="102"/>
      <c r="N73" s="63"/>
    </row>
    <row r="74" spans="3:17" s="54" customFormat="1" ht="14.25" customHeight="1" x14ac:dyDescent="0.25">
      <c r="C74" s="103" t="s">
        <v>47</v>
      </c>
      <c r="L74" s="102"/>
      <c r="N74" s="63"/>
    </row>
    <row r="75" spans="3:17" s="54" customFormat="1" ht="14.1" customHeight="1" x14ac:dyDescent="0.25">
      <c r="C75" s="64"/>
      <c r="D75" s="54" t="s">
        <v>48</v>
      </c>
      <c r="G75" s="54" t="s">
        <v>49</v>
      </c>
      <c r="J75" s="470">
        <v>34.460554445282483</v>
      </c>
      <c r="K75" s="470">
        <v>34.460554445282483</v>
      </c>
      <c r="L75" s="470">
        <v>34.460554445282483</v>
      </c>
      <c r="M75" s="470">
        <v>34.460554445282483</v>
      </c>
      <c r="N75" s="471">
        <v>34.460554445282483</v>
      </c>
    </row>
    <row r="76" spans="3:17" s="54" customFormat="1" ht="14.1" customHeight="1" x14ac:dyDescent="0.25">
      <c r="C76" s="85"/>
      <c r="D76" s="54" t="s">
        <v>50</v>
      </c>
      <c r="G76" s="54" t="s">
        <v>49</v>
      </c>
      <c r="J76" s="470">
        <v>1.8328537631730968</v>
      </c>
      <c r="K76" s="470">
        <v>1.8328537631730968</v>
      </c>
      <c r="L76" s="470">
        <v>1.8328537631730968</v>
      </c>
      <c r="M76" s="470">
        <v>1.8328537631730968</v>
      </c>
      <c r="N76" s="471">
        <v>1.8328537631730968</v>
      </c>
    </row>
    <row r="77" spans="3:17" s="54" customFormat="1" ht="14.1" customHeight="1" x14ac:dyDescent="0.25">
      <c r="C77" s="85"/>
      <c r="D77" s="54" t="s">
        <v>51</v>
      </c>
      <c r="G77" s="54" t="s">
        <v>49</v>
      </c>
      <c r="J77" s="470">
        <v>26.783021916639612</v>
      </c>
      <c r="K77" s="470">
        <v>26.783021916639612</v>
      </c>
      <c r="L77" s="470">
        <v>26.783021916639612</v>
      </c>
      <c r="M77" s="470">
        <v>26.783021916639612</v>
      </c>
      <c r="N77" s="471">
        <v>26.783021916639612</v>
      </c>
    </row>
    <row r="78" spans="3:17" s="54" customFormat="1" ht="14.1" customHeight="1" x14ac:dyDescent="0.25">
      <c r="C78" s="85"/>
      <c r="D78" s="54" t="s">
        <v>52</v>
      </c>
      <c r="G78" s="54" t="s">
        <v>49</v>
      </c>
      <c r="J78" s="470">
        <v>0</v>
      </c>
      <c r="K78" s="470">
        <v>0</v>
      </c>
      <c r="L78" s="470">
        <v>0</v>
      </c>
      <c r="M78" s="470">
        <v>0</v>
      </c>
      <c r="N78" s="471">
        <v>0</v>
      </c>
    </row>
    <row r="79" spans="3:17" s="54" customFormat="1" ht="14.1" customHeight="1" x14ac:dyDescent="0.25">
      <c r="C79" s="85"/>
      <c r="D79" s="54" t="s">
        <v>181</v>
      </c>
      <c r="G79" s="54" t="s">
        <v>49</v>
      </c>
      <c r="J79" s="470">
        <v>36.602843237704917</v>
      </c>
      <c r="K79" s="470">
        <v>36.602843237704917</v>
      </c>
      <c r="L79" s="470">
        <v>36.602843237704917</v>
      </c>
      <c r="M79" s="470">
        <v>36.602843237704917</v>
      </c>
      <c r="N79" s="471">
        <v>36.602843237704917</v>
      </c>
    </row>
    <row r="80" spans="3:17" s="54" customFormat="1" ht="14.1" customHeight="1" x14ac:dyDescent="0.25">
      <c r="C80" s="61"/>
      <c r="D80" s="54" t="s">
        <v>53</v>
      </c>
      <c r="G80" s="54" t="s">
        <v>49</v>
      </c>
      <c r="J80" s="470">
        <v>36.346044936105613</v>
      </c>
      <c r="K80" s="470">
        <v>36.346044936105613</v>
      </c>
      <c r="L80" s="470">
        <v>36.346044936105613</v>
      </c>
      <c r="M80" s="470">
        <v>36.346044936105613</v>
      </c>
      <c r="N80" s="471">
        <v>36.346044936105613</v>
      </c>
    </row>
    <row r="81" spans="1:15" s="54" customFormat="1" ht="14.1" customHeight="1" x14ac:dyDescent="0.25">
      <c r="C81" s="61"/>
      <c r="D81" s="54" t="s">
        <v>180</v>
      </c>
      <c r="G81" s="54" t="s">
        <v>49</v>
      </c>
      <c r="J81" s="470">
        <v>88.653298350586169</v>
      </c>
      <c r="K81" s="470">
        <v>88.653298350586169</v>
      </c>
      <c r="L81" s="470">
        <v>88.653298350586169</v>
      </c>
      <c r="M81" s="470">
        <v>88.653298350586169</v>
      </c>
      <c r="N81" s="471">
        <v>88.653298350586169</v>
      </c>
    </row>
    <row r="82" spans="1:15" s="54" customFormat="1" ht="14.1" customHeight="1" x14ac:dyDescent="0.25">
      <c r="C82" s="61"/>
      <c r="D82" s="54" t="s">
        <v>54</v>
      </c>
      <c r="G82" s="54" t="s">
        <v>49</v>
      </c>
      <c r="J82" s="470">
        <v>25.942579426283711</v>
      </c>
      <c r="K82" s="470">
        <v>25.942579426283711</v>
      </c>
      <c r="L82" s="470">
        <v>25.942579426283711</v>
      </c>
      <c r="M82" s="470">
        <v>25.942579426283711</v>
      </c>
      <c r="N82" s="471">
        <v>25.942579426283711</v>
      </c>
    </row>
    <row r="83" spans="1:15" s="54" customFormat="1" ht="6" customHeight="1" x14ac:dyDescent="0.25">
      <c r="C83" s="61"/>
      <c r="N83" s="63"/>
    </row>
    <row r="84" spans="1:15" s="54" customFormat="1" ht="14.1" customHeight="1" x14ac:dyDescent="0.25">
      <c r="C84" s="106" t="s">
        <v>55</v>
      </c>
      <c r="N84" s="63"/>
    </row>
    <row r="85" spans="1:15" s="54" customFormat="1" ht="14.1" customHeight="1" x14ac:dyDescent="0.25">
      <c r="C85" s="86"/>
      <c r="D85" s="54" t="s">
        <v>56</v>
      </c>
      <c r="G85" s="54" t="s">
        <v>31</v>
      </c>
      <c r="J85" s="423">
        <v>1000</v>
      </c>
      <c r="K85" s="423">
        <v>500</v>
      </c>
      <c r="L85" s="423">
        <v>0</v>
      </c>
      <c r="M85" s="423">
        <v>0</v>
      </c>
      <c r="N85" s="424">
        <v>1000</v>
      </c>
    </row>
    <row r="86" spans="1:15" s="54" customFormat="1" ht="14.1" customHeight="1" x14ac:dyDescent="0.25">
      <c r="C86" s="61"/>
      <c r="D86" s="54" t="s">
        <v>57</v>
      </c>
      <c r="G86" s="54" t="s">
        <v>31</v>
      </c>
      <c r="H86" s="54" t="s">
        <v>188</v>
      </c>
      <c r="I86" s="623">
        <f>Model!J248/Model!J251</f>
        <v>-3.5268872033484165E-3</v>
      </c>
      <c r="J86" s="423">
        <v>-3000</v>
      </c>
      <c r="K86" s="423">
        <v>-3000</v>
      </c>
      <c r="L86" s="423">
        <v>-3000</v>
      </c>
      <c r="M86" s="423">
        <v>-3000</v>
      </c>
      <c r="N86" s="424">
        <v>-3000</v>
      </c>
    </row>
    <row r="87" spans="1:15" s="54" customFormat="1" ht="14.1" customHeight="1" x14ac:dyDescent="0.25">
      <c r="C87" s="61"/>
      <c r="D87" s="54" t="s">
        <v>264</v>
      </c>
      <c r="G87" s="54" t="s">
        <v>31</v>
      </c>
      <c r="I87" s="425"/>
      <c r="J87" s="423">
        <v>0</v>
      </c>
      <c r="K87" s="423">
        <v>0</v>
      </c>
      <c r="L87" s="423">
        <v>0</v>
      </c>
      <c r="M87" s="423">
        <v>0</v>
      </c>
      <c r="N87" s="424">
        <v>0</v>
      </c>
    </row>
    <row r="88" spans="1:15" s="54" customFormat="1" ht="14.1" customHeight="1" x14ac:dyDescent="0.25">
      <c r="C88" s="61"/>
      <c r="D88" s="54" t="s">
        <v>198</v>
      </c>
      <c r="G88" s="54" t="s">
        <v>31</v>
      </c>
      <c r="I88" s="425"/>
      <c r="J88" s="423">
        <v>0</v>
      </c>
      <c r="K88" s="423">
        <v>0</v>
      </c>
      <c r="L88" s="423">
        <v>0</v>
      </c>
      <c r="M88" s="423">
        <v>0</v>
      </c>
      <c r="N88" s="424">
        <v>0</v>
      </c>
    </row>
    <row r="89" spans="1:15" s="54" customFormat="1" ht="14.1" customHeight="1" x14ac:dyDescent="0.25">
      <c r="C89" s="61"/>
      <c r="I89" s="425"/>
      <c r="J89" s="423"/>
      <c r="K89" s="423"/>
      <c r="L89" s="423"/>
      <c r="M89" s="423"/>
      <c r="N89" s="424"/>
    </row>
    <row r="90" spans="1:15" s="54" customFormat="1" ht="14.1" customHeight="1" x14ac:dyDescent="0.25">
      <c r="C90" s="106" t="s">
        <v>166</v>
      </c>
      <c r="I90" s="425"/>
      <c r="J90" s="423"/>
      <c r="K90" s="423"/>
      <c r="L90" s="423"/>
      <c r="M90" s="423"/>
      <c r="N90" s="424"/>
    </row>
    <row r="91" spans="1:15" s="54" customFormat="1" ht="14.1" customHeight="1" x14ac:dyDescent="0.25">
      <c r="C91" s="61"/>
      <c r="D91" s="54" t="s">
        <v>258</v>
      </c>
      <c r="G91" s="54" t="s">
        <v>254</v>
      </c>
      <c r="I91" s="425"/>
      <c r="J91" s="465">
        <v>27</v>
      </c>
      <c r="K91" s="465">
        <v>27</v>
      </c>
      <c r="L91" s="465">
        <v>27</v>
      </c>
      <c r="M91" s="465">
        <v>27</v>
      </c>
      <c r="N91" s="466">
        <v>27</v>
      </c>
    </row>
    <row r="92" spans="1:15" s="54" customFormat="1" ht="14.1" customHeight="1" x14ac:dyDescent="0.25">
      <c r="C92" s="61"/>
      <c r="D92" s="54" t="s">
        <v>262</v>
      </c>
      <c r="G92" s="54" t="s">
        <v>265</v>
      </c>
      <c r="J92" s="425">
        <v>0.1</v>
      </c>
      <c r="K92" s="423"/>
      <c r="L92" s="423"/>
      <c r="M92" s="423"/>
      <c r="N92" s="424"/>
    </row>
    <row r="93" spans="1:15" s="54" customFormat="1" ht="12" customHeight="1" x14ac:dyDescent="0.25">
      <c r="C93" s="68"/>
      <c r="D93" s="70"/>
      <c r="E93" s="70"/>
      <c r="F93" s="70"/>
      <c r="G93" s="70"/>
      <c r="H93" s="70"/>
      <c r="I93" s="70"/>
      <c r="J93" s="107"/>
      <c r="K93" s="107"/>
      <c r="L93" s="107"/>
      <c r="M93" s="107"/>
      <c r="N93" s="108"/>
    </row>
    <row r="94" spans="1:15" s="54" customFormat="1" ht="9" customHeight="1" x14ac:dyDescent="0.25">
      <c r="B94" s="97"/>
      <c r="C94" s="97"/>
      <c r="D94" s="98"/>
      <c r="E94" s="99"/>
      <c r="F94" s="99"/>
      <c r="G94" s="99"/>
      <c r="H94" s="99"/>
      <c r="I94" s="97"/>
      <c r="J94" s="97"/>
      <c r="K94" s="97"/>
      <c r="L94" s="97"/>
      <c r="M94" s="97"/>
      <c r="N94" s="97"/>
      <c r="O94" s="97"/>
    </row>
    <row r="95" spans="1:15" x14ac:dyDescent="0.25">
      <c r="A95" s="54"/>
      <c r="B95" s="54"/>
      <c r="C95" s="54"/>
      <c r="D95" s="109"/>
      <c r="E95" s="57"/>
      <c r="F95" s="57"/>
      <c r="G95" s="57"/>
      <c r="H95" s="57"/>
      <c r="I95" s="54"/>
      <c r="J95" s="54"/>
      <c r="K95" s="54"/>
      <c r="L95" s="54"/>
      <c r="M95" s="54"/>
      <c r="N95" s="54"/>
      <c r="O95" s="54"/>
    </row>
    <row r="96" spans="1:15" x14ac:dyDescent="0.25">
      <c r="A96" s="54"/>
      <c r="B96" s="54"/>
      <c r="C96" s="54"/>
      <c r="D96" s="102"/>
      <c r="E96" s="54"/>
      <c r="F96" s="54"/>
      <c r="G96" s="54"/>
      <c r="H96" s="54"/>
      <c r="I96" s="54"/>
      <c r="J96" s="54"/>
      <c r="K96" s="54"/>
      <c r="L96" s="54"/>
      <c r="M96" s="54"/>
      <c r="N96" s="54"/>
      <c r="O96" s="54"/>
    </row>
  </sheetData>
  <printOptions horizontalCentered="1"/>
  <pageMargins left="0.23622047244094491" right="0.23622047244094491" top="0.23622047244094491" bottom="0.51181102362204722" header="0.23622047244094491" footer="0.23622047244094491"/>
  <pageSetup scale="81" orientation="landscape" r:id="rId1"/>
  <headerFooter>
    <oddFooter>&amp;CPage &amp;P of &amp;N&amp;R&amp;D &amp;T</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3E0CE-E1CC-4CCC-A51C-09278C396BD3}">
  <dimension ref="A1:M93"/>
  <sheetViews>
    <sheetView showGridLines="0" view="pageBreakPreview" zoomScale="115" zoomScaleNormal="100" zoomScaleSheetLayoutView="115" workbookViewId="0">
      <selection activeCell="E10" sqref="E10"/>
    </sheetView>
  </sheetViews>
  <sheetFormatPr defaultRowHeight="15" x14ac:dyDescent="0.25"/>
  <cols>
    <col min="1" max="1" width="4.7109375" bestFit="1" customWidth="1"/>
    <col min="2" max="2" width="1.5703125" customWidth="1"/>
    <col min="3" max="3" width="18.5703125" customWidth="1"/>
    <col min="4" max="11" width="11.140625" customWidth="1"/>
  </cols>
  <sheetData>
    <row r="1" spans="1:11" s="110" customFormat="1" ht="22.7" customHeight="1" x14ac:dyDescent="0.35">
      <c r="B1" s="111" t="str">
        <f>Assumptions!B1</f>
        <v>McDonald's Corporation</v>
      </c>
      <c r="C1" s="112"/>
      <c r="D1" s="112"/>
      <c r="E1" s="112"/>
      <c r="F1" s="112"/>
      <c r="G1" s="112"/>
      <c r="H1" s="112"/>
      <c r="I1" s="112"/>
      <c r="J1" s="112"/>
      <c r="K1" s="112"/>
    </row>
    <row r="2" spans="1:11" s="113" customFormat="1" ht="18" x14ac:dyDescent="0.25">
      <c r="B2" s="114" t="s">
        <v>58</v>
      </c>
      <c r="C2" s="114"/>
      <c r="D2" s="114"/>
      <c r="E2" s="114"/>
      <c r="F2" s="114"/>
      <c r="G2" s="114"/>
      <c r="H2" s="114"/>
      <c r="I2" s="114"/>
      <c r="J2" s="114"/>
      <c r="K2" s="114"/>
    </row>
    <row r="3" spans="1:11" s="113" customFormat="1" ht="3" customHeight="1" thickBot="1" x14ac:dyDescent="0.25">
      <c r="B3" s="115"/>
      <c r="C3" s="115"/>
      <c r="D3" s="116"/>
      <c r="E3" s="116"/>
      <c r="F3" s="115"/>
      <c r="G3" s="115"/>
      <c r="H3" s="115"/>
      <c r="I3" s="115"/>
      <c r="J3" s="115"/>
      <c r="K3" s="115"/>
    </row>
    <row r="4" spans="1:11" s="113" customFormat="1" ht="12.75" customHeight="1" x14ac:dyDescent="0.2">
      <c r="C4" s="117"/>
      <c r="D4" s="118"/>
      <c r="E4" s="118"/>
      <c r="F4" s="117"/>
    </row>
    <row r="5" spans="1:11" s="113" customFormat="1" ht="6" customHeight="1" x14ac:dyDescent="0.2">
      <c r="B5" s="119"/>
      <c r="C5" s="120"/>
      <c r="D5" s="121"/>
      <c r="E5" s="122"/>
      <c r="G5" s="123"/>
      <c r="H5" s="123"/>
      <c r="I5" s="123"/>
      <c r="J5" s="123"/>
      <c r="K5" s="123"/>
    </row>
    <row r="6" spans="1:11" s="113" customFormat="1" ht="16.149999999999999" customHeight="1" x14ac:dyDescent="0.2">
      <c r="B6" s="124" t="s">
        <v>59</v>
      </c>
      <c r="C6" s="125"/>
      <c r="D6" s="126">
        <v>1</v>
      </c>
      <c r="E6" s="127"/>
      <c r="F6" s="125"/>
      <c r="G6" s="128">
        <f>Assumptions!H8</f>
        <v>2024</v>
      </c>
      <c r="H6" s="128">
        <f>G6+1</f>
        <v>2025</v>
      </c>
      <c r="I6" s="128">
        <f>H6+1</f>
        <v>2026</v>
      </c>
      <c r="J6" s="128">
        <f>I6+1</f>
        <v>2027</v>
      </c>
      <c r="K6" s="128">
        <f>J6+1</f>
        <v>2028</v>
      </c>
    </row>
    <row r="7" spans="1:11" s="113" customFormat="1" ht="6" customHeight="1" x14ac:dyDescent="0.2">
      <c r="B7" s="129"/>
      <c r="C7" s="130"/>
      <c r="D7" s="131"/>
      <c r="E7" s="132"/>
      <c r="F7" s="125"/>
      <c r="G7" s="133"/>
      <c r="H7" s="133"/>
      <c r="I7" s="134"/>
      <c r="J7" s="134"/>
      <c r="K7" s="133"/>
    </row>
    <row r="8" spans="1:11" s="113" customFormat="1" ht="12.75" x14ac:dyDescent="0.2">
      <c r="B8" s="125"/>
      <c r="C8" s="125"/>
      <c r="D8" s="135"/>
      <c r="E8" s="135"/>
      <c r="F8" s="125"/>
      <c r="G8" s="133"/>
      <c r="H8" s="133"/>
      <c r="I8" s="134"/>
      <c r="J8" s="134"/>
      <c r="K8" s="133"/>
    </row>
    <row r="9" spans="1:11" s="113" customFormat="1" ht="12.75" x14ac:dyDescent="0.2">
      <c r="B9" s="125"/>
      <c r="C9" s="125"/>
      <c r="D9" s="135"/>
      <c r="E9" s="135"/>
      <c r="F9" s="125"/>
      <c r="G9" s="133"/>
      <c r="H9" s="133"/>
      <c r="I9" s="134"/>
      <c r="J9" s="134"/>
      <c r="K9" s="133"/>
    </row>
    <row r="10" spans="1:11" s="113" customFormat="1" ht="15.75" x14ac:dyDescent="0.25">
      <c r="A10" s="136"/>
      <c r="B10" s="137" t="s">
        <v>60</v>
      </c>
      <c r="D10" s="138"/>
      <c r="E10" s="138"/>
    </row>
    <row r="11" spans="1:11" s="113" customFormat="1" ht="12.75" customHeight="1" x14ac:dyDescent="0.2">
      <c r="D11" s="138"/>
      <c r="E11" s="138"/>
    </row>
    <row r="12" spans="1:11" s="113" customFormat="1" ht="16.149999999999999" customHeight="1" x14ac:dyDescent="0.2">
      <c r="B12" s="139" t="s">
        <v>61</v>
      </c>
      <c r="D12" s="140"/>
      <c r="E12" s="140"/>
      <c r="G12" s="141">
        <f>CHOOSE($D$6,G14,G15,G16)</f>
        <v>0.03</v>
      </c>
      <c r="H12" s="142">
        <f>CHOOSE($D$6,H14,H15,H16)</f>
        <v>0.03</v>
      </c>
      <c r="I12" s="142">
        <f>CHOOSE($D$6,I14,I15,I16)</f>
        <v>0.03</v>
      </c>
      <c r="J12" s="142">
        <f>CHOOSE($D$6,J14,J15,J16)</f>
        <v>0.03</v>
      </c>
      <c r="K12" s="143">
        <f>CHOOSE($D$6,K14,K15,K16)</f>
        <v>0.03</v>
      </c>
    </row>
    <row r="13" spans="1:11" s="113" customFormat="1" ht="4.3499999999999996" customHeight="1" x14ac:dyDescent="0.2">
      <c r="B13" s="144"/>
      <c r="D13" s="140"/>
      <c r="E13" s="140"/>
      <c r="G13" s="145"/>
      <c r="H13" s="146"/>
      <c r="I13" s="146"/>
      <c r="J13" s="146"/>
      <c r="K13" s="146"/>
    </row>
    <row r="14" spans="1:11" s="113" customFormat="1" ht="12.75" x14ac:dyDescent="0.2">
      <c r="B14" s="144"/>
      <c r="C14" s="113" t="str">
        <f>Assumptions!C19</f>
        <v>Base Case</v>
      </c>
      <c r="D14" s="140"/>
      <c r="E14" s="140"/>
      <c r="G14" s="147">
        <v>0.03</v>
      </c>
      <c r="H14" s="148">
        <v>0.03</v>
      </c>
      <c r="I14" s="148">
        <v>0.03</v>
      </c>
      <c r="J14" s="148">
        <v>0.03</v>
      </c>
      <c r="K14" s="149">
        <v>0.03</v>
      </c>
    </row>
    <row r="15" spans="1:11" s="113" customFormat="1" ht="12.75" x14ac:dyDescent="0.2">
      <c r="B15" s="144"/>
      <c r="C15" s="113" t="str">
        <f>Assumptions!C20</f>
        <v>Best Case</v>
      </c>
      <c r="D15" s="140"/>
      <c r="E15" s="140"/>
      <c r="G15" s="150">
        <v>0.01</v>
      </c>
      <c r="H15" s="151">
        <v>0.01</v>
      </c>
      <c r="I15" s="151">
        <v>0.01</v>
      </c>
      <c r="J15" s="151">
        <v>0.01</v>
      </c>
      <c r="K15" s="152">
        <v>0.01</v>
      </c>
    </row>
    <row r="16" spans="1:11" s="113" customFormat="1" ht="12.75" x14ac:dyDescent="0.2">
      <c r="B16" s="144"/>
      <c r="C16" s="113" t="str">
        <f>Assumptions!C21</f>
        <v>Worst Case</v>
      </c>
      <c r="D16" s="140"/>
      <c r="E16" s="140"/>
      <c r="G16" s="153">
        <v>0.05</v>
      </c>
      <c r="H16" s="154">
        <v>0.05</v>
      </c>
      <c r="I16" s="154">
        <v>0.05</v>
      </c>
      <c r="J16" s="154">
        <v>0.05</v>
      </c>
      <c r="K16" s="155">
        <v>0.05</v>
      </c>
    </row>
    <row r="17" spans="1:13" s="113" customFormat="1" ht="12.75" x14ac:dyDescent="0.2">
      <c r="C17" s="156"/>
      <c r="D17" s="157"/>
      <c r="E17" s="157"/>
      <c r="G17" s="158"/>
      <c r="H17" s="158"/>
      <c r="I17" s="158"/>
      <c r="J17" s="158"/>
      <c r="K17" s="159"/>
    </row>
    <row r="18" spans="1:13" s="113" customFormat="1" ht="12.75" x14ac:dyDescent="0.2">
      <c r="B18" s="160"/>
      <c r="C18" s="160"/>
      <c r="D18" s="161"/>
      <c r="E18" s="161"/>
      <c r="F18" s="160"/>
      <c r="G18" s="160"/>
      <c r="H18" s="160"/>
      <c r="I18" s="160"/>
      <c r="J18" s="160"/>
      <c r="K18" s="160"/>
    </row>
    <row r="19" spans="1:13" s="113" customFormat="1" ht="12.75" x14ac:dyDescent="0.2">
      <c r="D19" s="138"/>
      <c r="E19" s="138"/>
    </row>
    <row r="20" spans="1:13" s="113" customFormat="1" ht="12.75" customHeight="1" x14ac:dyDescent="0.2">
      <c r="D20" s="138"/>
      <c r="E20" s="138"/>
    </row>
    <row r="21" spans="1:13" s="113" customFormat="1" ht="12.75" customHeight="1" x14ac:dyDescent="0.25">
      <c r="B21" s="137" t="s">
        <v>62</v>
      </c>
      <c r="D21" s="138"/>
      <c r="E21" s="138"/>
    </row>
    <row r="22" spans="1:13" s="113" customFormat="1" ht="12.75" customHeight="1" x14ac:dyDescent="0.2">
      <c r="D22" s="138"/>
      <c r="E22" s="138"/>
    </row>
    <row r="23" spans="1:13" s="162" customFormat="1" ht="16.149999999999999" customHeight="1" x14ac:dyDescent="0.25">
      <c r="B23" s="139" t="s">
        <v>278</v>
      </c>
      <c r="D23" s="126"/>
      <c r="E23" s="126"/>
      <c r="G23" s="141">
        <f>CHOOSE($D$6,G25,G26,G27)</f>
        <v>0</v>
      </c>
      <c r="H23" s="142">
        <f>CHOOSE($D$6,H25,H26,H27)</f>
        <v>0</v>
      </c>
      <c r="I23" s="142">
        <f>CHOOSE($D$6,I25,I26,I27)</f>
        <v>0</v>
      </c>
      <c r="J23" s="142">
        <f>CHOOSE($D$6,J25,J26,J27)</f>
        <v>0</v>
      </c>
      <c r="K23" s="143">
        <f>CHOOSE($D$6,K25,K26,K27)</f>
        <v>0</v>
      </c>
    </row>
    <row r="24" spans="1:13" s="113" customFormat="1" ht="4.3499999999999996" customHeight="1" x14ac:dyDescent="0.2">
      <c r="B24" s="163"/>
      <c r="D24" s="140"/>
      <c r="E24" s="140"/>
      <c r="G24" s="164"/>
      <c r="H24" s="164"/>
      <c r="I24" s="164"/>
      <c r="J24" s="164"/>
      <c r="K24" s="164"/>
    </row>
    <row r="25" spans="1:13" s="113" customFormat="1" ht="12.75" x14ac:dyDescent="0.2">
      <c r="C25" s="156" t="str">
        <f>C14</f>
        <v>Base Case</v>
      </c>
      <c r="D25" s="157"/>
      <c r="E25" s="157"/>
      <c r="G25" s="457">
        <v>0</v>
      </c>
      <c r="H25" s="458">
        <v>0</v>
      </c>
      <c r="I25" s="458">
        <v>0</v>
      </c>
      <c r="J25" s="458">
        <v>0</v>
      </c>
      <c r="K25" s="459">
        <v>0</v>
      </c>
      <c r="L25" s="370"/>
      <c r="M25" s="371"/>
    </row>
    <row r="26" spans="1:13" s="113" customFormat="1" ht="12.75" x14ac:dyDescent="0.2">
      <c r="A26" s="165">
        <f>Assumptions!F20</f>
        <v>0.04</v>
      </c>
      <c r="C26" s="156" t="str">
        <f>CONCATENATE(C15,": ",TEXT(A26,"+0.0%;-0.0%"))</f>
        <v>Best Case: +4.0%</v>
      </c>
      <c r="D26" s="157"/>
      <c r="E26" s="157"/>
      <c r="G26" s="521">
        <f>Assumptions!$F$20</f>
        <v>0.04</v>
      </c>
      <c r="H26" s="522">
        <f>Assumptions!$F$20</f>
        <v>0.04</v>
      </c>
      <c r="I26" s="522">
        <f>Assumptions!$F$20</f>
        <v>0.04</v>
      </c>
      <c r="J26" s="522">
        <f>Assumptions!$F$20</f>
        <v>0.04</v>
      </c>
      <c r="K26" s="523">
        <f>Assumptions!$F$20</f>
        <v>0.04</v>
      </c>
      <c r="L26" s="370"/>
      <c r="M26" s="371"/>
    </row>
    <row r="27" spans="1:13" s="113" customFormat="1" ht="12.75" x14ac:dyDescent="0.2">
      <c r="A27" s="165">
        <f>Assumptions!F21</f>
        <v>-0.04</v>
      </c>
      <c r="C27" s="156" t="str">
        <f>CONCATENATE(C16,": ",TEXT(A27,"+0.0%;-0.0%"))</f>
        <v>Worst Case: -4.0%</v>
      </c>
      <c r="D27" s="157"/>
      <c r="E27" s="157"/>
      <c r="G27" s="524">
        <f>Assumptions!$F$21</f>
        <v>-0.04</v>
      </c>
      <c r="H27" s="525">
        <f>Assumptions!$F$21</f>
        <v>-0.04</v>
      </c>
      <c r="I27" s="525">
        <f>Assumptions!$F$21</f>
        <v>-0.04</v>
      </c>
      <c r="J27" s="525">
        <f>Assumptions!$F$21</f>
        <v>-0.04</v>
      </c>
      <c r="K27" s="526">
        <f>Assumptions!$F$21</f>
        <v>-0.04</v>
      </c>
      <c r="L27" s="370"/>
      <c r="M27" s="371"/>
    </row>
    <row r="28" spans="1:13" s="113" customFormat="1" ht="12.75" x14ac:dyDescent="0.2">
      <c r="C28" s="166"/>
      <c r="D28" s="157"/>
      <c r="E28" s="157"/>
      <c r="G28" s="167"/>
      <c r="H28" s="167"/>
      <c r="I28" s="167"/>
      <c r="J28" s="167"/>
      <c r="K28" s="168"/>
      <c r="L28" s="370"/>
    </row>
    <row r="29" spans="1:13" s="113" customFormat="1" ht="12.75" x14ac:dyDescent="0.2">
      <c r="C29" s="166"/>
      <c r="D29" s="157"/>
      <c r="E29" s="157"/>
      <c r="G29" s="167"/>
      <c r="H29" s="167"/>
      <c r="I29" s="167"/>
      <c r="J29" s="167"/>
      <c r="K29" s="168"/>
      <c r="L29" s="370"/>
    </row>
    <row r="30" spans="1:13" s="113" customFormat="1" ht="16.149999999999999" customHeight="1" x14ac:dyDescent="0.2">
      <c r="B30" s="139" t="s">
        <v>63</v>
      </c>
      <c r="D30" s="140"/>
      <c r="E30" s="140"/>
      <c r="G30" s="141">
        <f>CHOOSE($D$6,G32,G33,G34)</f>
        <v>0</v>
      </c>
      <c r="H30" s="142">
        <f>CHOOSE($D$6,H32,H33,H34)</f>
        <v>0</v>
      </c>
      <c r="I30" s="142">
        <f>CHOOSE($D$6,I32,I33,I34)</f>
        <v>0</v>
      </c>
      <c r="J30" s="142">
        <f>CHOOSE($D$6,J32,J33,J34)</f>
        <v>0</v>
      </c>
      <c r="K30" s="143">
        <f>CHOOSE($D$6,K32,K33,K34)</f>
        <v>0</v>
      </c>
    </row>
    <row r="31" spans="1:13" s="113" customFormat="1" ht="4.3499999999999996" customHeight="1" x14ac:dyDescent="0.2">
      <c r="B31" s="144"/>
      <c r="D31" s="140"/>
      <c r="E31" s="140"/>
      <c r="G31" s="145"/>
      <c r="H31" s="146"/>
      <c r="I31" s="146"/>
      <c r="J31" s="146"/>
      <c r="K31" s="146"/>
    </row>
    <row r="32" spans="1:13" s="113" customFormat="1" ht="12.75" x14ac:dyDescent="0.2">
      <c r="B32" s="144"/>
      <c r="C32" s="113" t="str">
        <f>C14</f>
        <v>Base Case</v>
      </c>
      <c r="D32" s="140"/>
      <c r="E32" s="140"/>
      <c r="G32" s="457">
        <v>0</v>
      </c>
      <c r="H32" s="458">
        <v>0</v>
      </c>
      <c r="I32" s="458">
        <v>0</v>
      </c>
      <c r="J32" s="458">
        <v>0</v>
      </c>
      <c r="K32" s="459">
        <v>0</v>
      </c>
    </row>
    <row r="33" spans="1:12" s="113" customFormat="1" ht="12.75" x14ac:dyDescent="0.2">
      <c r="B33" s="144"/>
      <c r="C33" s="113" t="str">
        <f>C15</f>
        <v>Best Case</v>
      </c>
      <c r="D33" s="140"/>
      <c r="E33" s="140"/>
      <c r="G33" s="521">
        <f>Assumptions!$G$20</f>
        <v>0.04</v>
      </c>
      <c r="H33" s="522">
        <f>Assumptions!$G$20</f>
        <v>0.04</v>
      </c>
      <c r="I33" s="522">
        <f>Assumptions!$G$20</f>
        <v>0.04</v>
      </c>
      <c r="J33" s="522">
        <f>Assumptions!$G$20</f>
        <v>0.04</v>
      </c>
      <c r="K33" s="523">
        <f>Assumptions!$G$20</f>
        <v>0.04</v>
      </c>
    </row>
    <row r="34" spans="1:12" s="113" customFormat="1" ht="12.75" x14ac:dyDescent="0.2">
      <c r="B34" s="144"/>
      <c r="C34" s="113" t="str">
        <f>C16</f>
        <v>Worst Case</v>
      </c>
      <c r="D34" s="140"/>
      <c r="E34" s="140"/>
      <c r="G34" s="524">
        <f>Assumptions!$G$21</f>
        <v>-0.04</v>
      </c>
      <c r="H34" s="525">
        <f>Assumptions!$G$21</f>
        <v>-0.04</v>
      </c>
      <c r="I34" s="525">
        <f>Assumptions!$G$21</f>
        <v>-0.04</v>
      </c>
      <c r="J34" s="525">
        <f>Assumptions!$G$21</f>
        <v>-0.04</v>
      </c>
      <c r="K34" s="526">
        <f>Assumptions!$G$21</f>
        <v>-0.04</v>
      </c>
    </row>
    <row r="35" spans="1:12" s="113" customFormat="1" ht="12.75" x14ac:dyDescent="0.2">
      <c r="C35" s="166"/>
      <c r="D35" s="157"/>
      <c r="E35" s="157"/>
      <c r="G35" s="167"/>
      <c r="H35" s="167"/>
      <c r="I35" s="167"/>
      <c r="J35" s="167"/>
      <c r="K35" s="168"/>
      <c r="L35" s="370"/>
    </row>
    <row r="36" spans="1:12" s="113" customFormat="1" ht="12.75" x14ac:dyDescent="0.2">
      <c r="B36" s="169"/>
      <c r="C36" s="169"/>
      <c r="D36" s="170"/>
      <c r="E36" s="170"/>
      <c r="F36" s="169"/>
      <c r="G36" s="169"/>
      <c r="H36" s="169"/>
      <c r="I36" s="169"/>
      <c r="J36" s="169"/>
      <c r="K36" s="169"/>
    </row>
    <row r="37" spans="1:12" x14ac:dyDescent="0.25">
      <c r="A37" s="113"/>
      <c r="B37" s="113"/>
      <c r="C37" s="113"/>
      <c r="D37" s="138"/>
      <c r="E37" s="138"/>
      <c r="F37" s="113"/>
      <c r="G37" s="113"/>
      <c r="H37" s="113"/>
      <c r="I37" s="113"/>
      <c r="J37" s="113"/>
      <c r="K37" s="113"/>
    </row>
    <row r="38" spans="1:12" ht="23.25" x14ac:dyDescent="0.35">
      <c r="B38" s="111" t="str">
        <f>B1</f>
        <v>McDonald's Corporation</v>
      </c>
      <c r="C38" s="112"/>
      <c r="D38" s="112"/>
      <c r="E38" s="112"/>
      <c r="F38" s="112"/>
      <c r="G38" s="112"/>
      <c r="H38" s="112"/>
      <c r="I38" s="112"/>
      <c r="J38" s="112"/>
      <c r="K38" s="112"/>
    </row>
    <row r="39" spans="1:12" ht="18" x14ac:dyDescent="0.25">
      <c r="B39" s="114" t="s">
        <v>184</v>
      </c>
      <c r="C39" s="114"/>
      <c r="D39" s="114"/>
      <c r="E39" s="114"/>
      <c r="F39" s="114"/>
      <c r="G39" s="114"/>
      <c r="H39" s="114"/>
      <c r="I39" s="114"/>
      <c r="J39" s="114"/>
      <c r="K39" s="114"/>
    </row>
    <row r="40" spans="1:12" ht="15.75" thickBot="1" x14ac:dyDescent="0.3">
      <c r="B40" s="115"/>
      <c r="C40" s="115"/>
      <c r="D40" s="116"/>
      <c r="E40" s="116"/>
      <c r="F40" s="115"/>
      <c r="G40" s="115"/>
      <c r="H40" s="115"/>
      <c r="I40" s="115"/>
      <c r="J40" s="115"/>
      <c r="K40" s="115"/>
    </row>
    <row r="41" spans="1:12" x14ac:dyDescent="0.25">
      <c r="B41" s="113"/>
      <c r="C41" s="117"/>
      <c r="D41" s="118"/>
      <c r="E41" s="118"/>
      <c r="F41" s="117"/>
      <c r="G41" s="187" t="s">
        <v>2</v>
      </c>
      <c r="H41" s="188"/>
      <c r="I41" s="188"/>
      <c r="J41" s="188"/>
      <c r="K41" s="188"/>
    </row>
    <row r="42" spans="1:12" x14ac:dyDescent="0.25">
      <c r="B42" s="409" t="s">
        <v>325</v>
      </c>
      <c r="D42" s="190">
        <f>Model!H7</f>
        <v>2021</v>
      </c>
      <c r="E42" s="190">
        <f>Model!I7</f>
        <v>2022</v>
      </c>
      <c r="F42" s="190">
        <f>Model!J7</f>
        <v>2023</v>
      </c>
      <c r="G42" s="191">
        <f>Model!K7</f>
        <v>2024</v>
      </c>
      <c r="H42" s="191">
        <f>Model!L7</f>
        <v>2025</v>
      </c>
      <c r="I42" s="191">
        <f>Model!M7</f>
        <v>2026</v>
      </c>
      <c r="J42" s="191">
        <f>Model!N7</f>
        <v>2027</v>
      </c>
      <c r="K42" s="191">
        <f>Model!O7</f>
        <v>2028</v>
      </c>
    </row>
    <row r="43" spans="1:12" x14ac:dyDescent="0.25">
      <c r="B43" s="409"/>
      <c r="G43" s="191"/>
      <c r="H43" s="191"/>
      <c r="I43" s="191"/>
      <c r="J43" s="191"/>
      <c r="K43" s="191"/>
    </row>
    <row r="44" spans="1:12" x14ac:dyDescent="0.25">
      <c r="C44" s="197" t="s">
        <v>327</v>
      </c>
      <c r="D44" s="534"/>
      <c r="E44" s="534"/>
      <c r="F44" s="534"/>
      <c r="G44" s="535"/>
      <c r="H44" s="535"/>
      <c r="I44" s="535"/>
      <c r="J44" s="535"/>
      <c r="K44" s="535"/>
    </row>
    <row r="45" spans="1:12" x14ac:dyDescent="0.25">
      <c r="C45" s="531" t="s">
        <v>306</v>
      </c>
      <c r="D45" s="590">
        <f>Model!H10</f>
        <v>0.45</v>
      </c>
      <c r="E45" s="590">
        <f>Model!I10</f>
        <v>0.51</v>
      </c>
      <c r="F45" s="590">
        <f>Model!J10</f>
        <v>0.55000000000000004</v>
      </c>
      <c r="G45" s="588">
        <f>F45</f>
        <v>0.55000000000000004</v>
      </c>
      <c r="H45" s="588">
        <f t="shared" ref="H45:K45" si="0">G45</f>
        <v>0.55000000000000004</v>
      </c>
      <c r="I45" s="588">
        <f t="shared" si="0"/>
        <v>0.55000000000000004</v>
      </c>
      <c r="J45" s="588">
        <f t="shared" si="0"/>
        <v>0.55000000000000004</v>
      </c>
      <c r="K45" s="588">
        <f t="shared" si="0"/>
        <v>0.55000000000000004</v>
      </c>
    </row>
    <row r="46" spans="1:12" x14ac:dyDescent="0.25">
      <c r="C46" s="531" t="s">
        <v>307</v>
      </c>
      <c r="D46" s="590">
        <f>Model!H11</f>
        <v>0.63</v>
      </c>
      <c r="E46" s="590">
        <f>Model!I11</f>
        <v>0.64</v>
      </c>
      <c r="F46" s="590">
        <f>Model!J11</f>
        <v>0.72</v>
      </c>
      <c r="G46" s="588">
        <f t="shared" ref="G46:K46" si="1">F46</f>
        <v>0.72</v>
      </c>
      <c r="H46" s="588">
        <f t="shared" si="1"/>
        <v>0.72</v>
      </c>
      <c r="I46" s="588">
        <f t="shared" si="1"/>
        <v>0.72</v>
      </c>
      <c r="J46" s="588">
        <f t="shared" si="1"/>
        <v>0.72</v>
      </c>
      <c r="K46" s="588">
        <f t="shared" si="1"/>
        <v>0.72</v>
      </c>
    </row>
    <row r="47" spans="1:12" x14ac:dyDescent="0.25">
      <c r="C47" s="531" t="s">
        <v>308</v>
      </c>
      <c r="D47" s="590">
        <f>Model!H12</f>
        <v>0.11</v>
      </c>
      <c r="E47" s="590">
        <f>Model!I12</f>
        <v>0.11</v>
      </c>
      <c r="F47" s="590">
        <f>Model!J12</f>
        <v>0.12</v>
      </c>
      <c r="G47" s="588">
        <f t="shared" ref="G47:K47" si="2">F47</f>
        <v>0.12</v>
      </c>
      <c r="H47" s="588">
        <f t="shared" si="2"/>
        <v>0.12</v>
      </c>
      <c r="I47" s="588">
        <f t="shared" si="2"/>
        <v>0.12</v>
      </c>
      <c r="J47" s="588">
        <f t="shared" si="2"/>
        <v>0.12</v>
      </c>
      <c r="K47" s="588">
        <f t="shared" si="2"/>
        <v>0.12</v>
      </c>
    </row>
    <row r="48" spans="1:12" x14ac:dyDescent="0.25">
      <c r="C48" s="531"/>
      <c r="D48" s="534"/>
      <c r="E48" s="534"/>
      <c r="F48" s="534"/>
      <c r="G48" s="591"/>
      <c r="H48" s="591"/>
      <c r="I48" s="591"/>
      <c r="J48" s="591"/>
      <c r="K48" s="591"/>
    </row>
    <row r="49" spans="2:12" x14ac:dyDescent="0.25">
      <c r="C49" s="197" t="s">
        <v>326</v>
      </c>
      <c r="D49" s="534"/>
      <c r="E49" s="534"/>
      <c r="F49" s="534"/>
      <c r="G49" s="591"/>
      <c r="H49" s="591"/>
      <c r="I49" s="591"/>
      <c r="J49" s="591"/>
      <c r="K49" s="591"/>
    </row>
    <row r="50" spans="2:12" x14ac:dyDescent="0.25">
      <c r="C50" s="531" t="s">
        <v>306</v>
      </c>
      <c r="D50" s="590">
        <f>Model!H14</f>
        <v>4.5</v>
      </c>
      <c r="E50" s="590">
        <f>Model!I14</f>
        <v>4.7</v>
      </c>
      <c r="F50" s="590">
        <f>Model!J14</f>
        <v>5.15</v>
      </c>
      <c r="G50" s="588">
        <f t="shared" ref="G50:K50" si="3">F50</f>
        <v>5.15</v>
      </c>
      <c r="H50" s="588">
        <f t="shared" si="3"/>
        <v>5.15</v>
      </c>
      <c r="I50" s="588">
        <f t="shared" si="3"/>
        <v>5.15</v>
      </c>
      <c r="J50" s="588">
        <f t="shared" si="3"/>
        <v>5.15</v>
      </c>
      <c r="K50" s="588">
        <f t="shared" si="3"/>
        <v>5.15</v>
      </c>
    </row>
    <row r="51" spans="2:12" x14ac:dyDescent="0.25">
      <c r="C51" s="531" t="s">
        <v>307</v>
      </c>
      <c r="D51" s="590">
        <f>Model!H15</f>
        <v>3.7</v>
      </c>
      <c r="E51" s="590">
        <f>Model!I15</f>
        <v>4.5999999999999996</v>
      </c>
      <c r="F51" s="590">
        <f>Model!J15</f>
        <v>4.75</v>
      </c>
      <c r="G51" s="588">
        <f t="shared" ref="G51:K51" si="4">F51</f>
        <v>4.75</v>
      </c>
      <c r="H51" s="588">
        <f t="shared" si="4"/>
        <v>4.75</v>
      </c>
      <c r="I51" s="588">
        <f t="shared" si="4"/>
        <v>4.75</v>
      </c>
      <c r="J51" s="588">
        <f t="shared" si="4"/>
        <v>4.75</v>
      </c>
      <c r="K51" s="588">
        <f t="shared" si="4"/>
        <v>4.75</v>
      </c>
    </row>
    <row r="52" spans="2:12" x14ac:dyDescent="0.25">
      <c r="C52" s="531" t="s">
        <v>308</v>
      </c>
      <c r="D52" s="590">
        <f>Model!H16</f>
        <v>1.4</v>
      </c>
      <c r="E52" s="590">
        <f>Model!I16</f>
        <v>1.4</v>
      </c>
      <c r="F52" s="590">
        <f>Model!J16</f>
        <v>1.5</v>
      </c>
      <c r="G52" s="588">
        <f t="shared" ref="G52:K52" si="5">F52</f>
        <v>1.5</v>
      </c>
      <c r="H52" s="588">
        <f t="shared" si="5"/>
        <v>1.5</v>
      </c>
      <c r="I52" s="588">
        <f t="shared" si="5"/>
        <v>1.5</v>
      </c>
      <c r="J52" s="588">
        <f t="shared" si="5"/>
        <v>1.5</v>
      </c>
      <c r="K52" s="588">
        <f t="shared" si="5"/>
        <v>1.5</v>
      </c>
    </row>
    <row r="53" spans="2:12" x14ac:dyDescent="0.25">
      <c r="F53" s="563"/>
      <c r="G53" s="563"/>
      <c r="H53" s="563"/>
      <c r="I53" s="563"/>
      <c r="J53" s="563"/>
      <c r="K53" s="563"/>
    </row>
    <row r="55" spans="2:12" x14ac:dyDescent="0.25">
      <c r="B55" s="409" t="s">
        <v>298</v>
      </c>
    </row>
    <row r="56" spans="2:12" x14ac:dyDescent="0.25">
      <c r="B56" s="409"/>
      <c r="C56" t="s">
        <v>346</v>
      </c>
      <c r="F56" s="432">
        <v>4.4999999999999998E-2</v>
      </c>
    </row>
    <row r="57" spans="2:12" x14ac:dyDescent="0.25">
      <c r="C57" t="s">
        <v>297</v>
      </c>
      <c r="F57" s="394"/>
      <c r="G57" s="410"/>
      <c r="H57" s="410"/>
      <c r="I57" s="410"/>
      <c r="J57" s="410"/>
      <c r="K57" s="410"/>
    </row>
    <row r="58" spans="2:12" x14ac:dyDescent="0.25">
      <c r="C58" s="531" t="s">
        <v>306</v>
      </c>
      <c r="D58" s="544">
        <f>Model!H22</f>
        <v>12775</v>
      </c>
      <c r="E58" s="544">
        <f>Model!I22</f>
        <v>12751</v>
      </c>
      <c r="F58" s="544">
        <f>Model!J22</f>
        <v>12772</v>
      </c>
      <c r="G58" s="536">
        <f>F58*(1+$F$56)</f>
        <v>13346.74</v>
      </c>
      <c r="H58" s="536">
        <f t="shared" ref="H58:K58" si="6">G58*(1+$F$56)</f>
        <v>13947.343299999999</v>
      </c>
      <c r="I58" s="536">
        <f t="shared" si="6"/>
        <v>14574.973748499997</v>
      </c>
      <c r="J58" s="536">
        <f t="shared" si="6"/>
        <v>15230.847567182496</v>
      </c>
      <c r="K58" s="536">
        <f t="shared" si="6"/>
        <v>15916.235707705708</v>
      </c>
      <c r="L58" t="s">
        <v>305</v>
      </c>
    </row>
    <row r="59" spans="2:12" x14ac:dyDescent="0.25">
      <c r="C59" s="531" t="s">
        <v>307</v>
      </c>
      <c r="D59" s="544">
        <f>Model!H23</f>
        <v>9020</v>
      </c>
      <c r="E59" s="544">
        <f>Model!I23</f>
        <v>9006</v>
      </c>
      <c r="F59" s="544">
        <f>Model!J23</f>
        <v>9133</v>
      </c>
      <c r="G59" s="536">
        <f t="shared" ref="G59:K59" si="7">F59*(1+$F$56)</f>
        <v>9543.9849999999988</v>
      </c>
      <c r="H59" s="536">
        <f t="shared" si="7"/>
        <v>9973.4643249999972</v>
      </c>
      <c r="I59" s="536">
        <f t="shared" si="7"/>
        <v>10422.270219624996</v>
      </c>
      <c r="J59" s="536">
        <f t="shared" si="7"/>
        <v>10891.27237950812</v>
      </c>
      <c r="K59" s="536">
        <f t="shared" si="7"/>
        <v>11381.379636585985</v>
      </c>
      <c r="L59" t="s">
        <v>305</v>
      </c>
    </row>
    <row r="60" spans="2:12" x14ac:dyDescent="0.25">
      <c r="C60" s="531" t="s">
        <v>308</v>
      </c>
      <c r="D60" s="544">
        <f>Model!H24</f>
        <v>15500</v>
      </c>
      <c r="E60" s="544">
        <f>Model!I24</f>
        <v>16412</v>
      </c>
      <c r="F60" s="544">
        <f>Model!J24</f>
        <v>17775</v>
      </c>
      <c r="G60" s="536">
        <f t="shared" ref="G60:K60" si="8">F60*(1+$F$56)</f>
        <v>18574.875</v>
      </c>
      <c r="H60" s="536">
        <f t="shared" si="8"/>
        <v>19410.744374999998</v>
      </c>
      <c r="I60" s="536">
        <f t="shared" si="8"/>
        <v>20284.227871874999</v>
      </c>
      <c r="J60" s="536">
        <f t="shared" si="8"/>
        <v>21197.018126109371</v>
      </c>
      <c r="K60" s="536">
        <f t="shared" si="8"/>
        <v>22150.88394178429</v>
      </c>
      <c r="L60" t="s">
        <v>305</v>
      </c>
    </row>
    <row r="61" spans="2:12" x14ac:dyDescent="0.25">
      <c r="C61" s="409" t="s">
        <v>303</v>
      </c>
      <c r="D61" s="573">
        <f t="shared" ref="D61:K61" si="9">SUM(D58,D59,D60)</f>
        <v>37295</v>
      </c>
      <c r="E61" s="573">
        <f t="shared" si="9"/>
        <v>38169</v>
      </c>
      <c r="F61" s="573">
        <f t="shared" si="9"/>
        <v>39680</v>
      </c>
      <c r="G61" s="573">
        <f t="shared" si="9"/>
        <v>41465.599999999999</v>
      </c>
      <c r="H61" s="573">
        <f t="shared" si="9"/>
        <v>43331.551999999996</v>
      </c>
      <c r="I61" s="573">
        <f t="shared" si="9"/>
        <v>45281.471839999991</v>
      </c>
      <c r="J61" s="573">
        <f t="shared" si="9"/>
        <v>47319.138072799993</v>
      </c>
      <c r="K61" s="573">
        <f t="shared" si="9"/>
        <v>49448.499286075981</v>
      </c>
    </row>
    <row r="62" spans="2:12" x14ac:dyDescent="0.25">
      <c r="C62" t="s">
        <v>302</v>
      </c>
      <c r="D62" s="544"/>
      <c r="E62" s="544"/>
      <c r="F62" s="544"/>
      <c r="G62" s="536"/>
      <c r="H62" s="536"/>
      <c r="I62" s="536"/>
      <c r="J62" s="536"/>
      <c r="K62" s="536"/>
    </row>
    <row r="63" spans="2:12" x14ac:dyDescent="0.25">
      <c r="C63" s="531" t="str">
        <f>C58</f>
        <v>US</v>
      </c>
      <c r="D63" s="544">
        <f>Model!H26</f>
        <v>663</v>
      </c>
      <c r="E63" s="544">
        <f>Model!I26</f>
        <v>693</v>
      </c>
      <c r="F63" s="544">
        <f>Model!J26</f>
        <v>685</v>
      </c>
      <c r="G63" s="536">
        <f t="shared" ref="G63:K63" si="10">F63*(1+$F$56)</f>
        <v>715.82499999999993</v>
      </c>
      <c r="H63" s="536">
        <f t="shared" si="10"/>
        <v>748.03712499999983</v>
      </c>
      <c r="I63" s="536">
        <f t="shared" si="10"/>
        <v>781.69879562499978</v>
      </c>
      <c r="J63" s="536">
        <f t="shared" si="10"/>
        <v>816.8752414281247</v>
      </c>
      <c r="K63" s="536">
        <f t="shared" si="10"/>
        <v>853.63462729239029</v>
      </c>
    </row>
    <row r="64" spans="2:12" x14ac:dyDescent="0.25">
      <c r="C64" s="531" t="str">
        <f>C59</f>
        <v>IOM</v>
      </c>
      <c r="D64" s="544">
        <f>Model!H27</f>
        <v>1765</v>
      </c>
      <c r="E64" s="544">
        <f>Model!I27</f>
        <v>1097</v>
      </c>
      <c r="F64" s="544">
        <f>Model!J27</f>
        <v>1130</v>
      </c>
      <c r="G64" s="536">
        <f t="shared" ref="G64:K64" si="11">F64*(1+$F$56)</f>
        <v>1180.8499999999999</v>
      </c>
      <c r="H64" s="536">
        <f t="shared" si="11"/>
        <v>1233.9882499999999</v>
      </c>
      <c r="I64" s="536">
        <f t="shared" si="11"/>
        <v>1289.5177212499998</v>
      </c>
      <c r="J64" s="536">
        <f t="shared" si="11"/>
        <v>1347.5460187062497</v>
      </c>
      <c r="K64" s="536">
        <f t="shared" si="11"/>
        <v>1408.1855895480307</v>
      </c>
    </row>
    <row r="65" spans="2:11" x14ac:dyDescent="0.25">
      <c r="C65" s="531" t="str">
        <f>C60</f>
        <v>IDL</v>
      </c>
      <c r="D65" s="544">
        <f>Model!H28</f>
        <v>308</v>
      </c>
      <c r="E65" s="544">
        <f>Model!I28</f>
        <v>316</v>
      </c>
      <c r="F65" s="544">
        <f>Model!J28</f>
        <v>327</v>
      </c>
      <c r="G65" s="536">
        <f t="shared" ref="G65:K65" si="12">F65*(1+$F$56)</f>
        <v>341.71499999999997</v>
      </c>
      <c r="H65" s="536">
        <f t="shared" si="12"/>
        <v>357.09217499999994</v>
      </c>
      <c r="I65" s="536">
        <f t="shared" si="12"/>
        <v>373.16132287499994</v>
      </c>
      <c r="J65" s="536">
        <f t="shared" si="12"/>
        <v>389.95358240437491</v>
      </c>
      <c r="K65" s="536">
        <f t="shared" si="12"/>
        <v>407.50149361257178</v>
      </c>
    </row>
    <row r="66" spans="2:11" x14ac:dyDescent="0.25">
      <c r="C66" s="531" t="s">
        <v>328</v>
      </c>
      <c r="D66" s="575">
        <f>SUM(D63:D65)</f>
        <v>2736</v>
      </c>
      <c r="E66" s="575">
        <f t="shared" ref="E66:K66" si="13">SUM(E63:E65)</f>
        <v>2106</v>
      </c>
      <c r="F66" s="575">
        <f t="shared" si="13"/>
        <v>2142</v>
      </c>
      <c r="G66" s="575">
        <f t="shared" si="13"/>
        <v>2238.39</v>
      </c>
      <c r="H66" s="575">
        <f t="shared" si="13"/>
        <v>2339.1175499999995</v>
      </c>
      <c r="I66" s="575">
        <f t="shared" si="13"/>
        <v>2444.3778397499996</v>
      </c>
      <c r="J66" s="575">
        <f t="shared" si="13"/>
        <v>2554.3748425387494</v>
      </c>
      <c r="K66" s="575">
        <f t="shared" si="13"/>
        <v>2669.3217104529926</v>
      </c>
    </row>
    <row r="67" spans="2:11" x14ac:dyDescent="0.25">
      <c r="D67" s="544"/>
      <c r="E67" s="544"/>
      <c r="F67" s="544"/>
      <c r="G67" s="536"/>
      <c r="H67" s="536"/>
      <c r="I67" s="536"/>
      <c r="J67" s="536"/>
      <c r="K67" s="536"/>
    </row>
    <row r="68" spans="2:11" ht="15.75" thickBot="1" x14ac:dyDescent="0.3">
      <c r="C68" s="409" t="s">
        <v>304</v>
      </c>
      <c r="D68" s="589">
        <f>D61+D66</f>
        <v>40031</v>
      </c>
      <c r="E68" s="589">
        <f t="shared" ref="E68:K68" si="14">E61+E66</f>
        <v>40275</v>
      </c>
      <c r="F68" s="589">
        <f t="shared" si="14"/>
        <v>41822</v>
      </c>
      <c r="G68" s="589">
        <f t="shared" si="14"/>
        <v>43703.99</v>
      </c>
      <c r="H68" s="589">
        <f t="shared" si="14"/>
        <v>45670.669549999999</v>
      </c>
      <c r="I68" s="589">
        <f t="shared" si="14"/>
        <v>47725.84967974999</v>
      </c>
      <c r="J68" s="589">
        <f t="shared" si="14"/>
        <v>49873.512915338739</v>
      </c>
      <c r="K68" s="589">
        <f t="shared" si="14"/>
        <v>52117.820996528972</v>
      </c>
    </row>
    <row r="69" spans="2:11" ht="15.75" thickTop="1" x14ac:dyDescent="0.25">
      <c r="C69" s="531"/>
      <c r="D69" s="544"/>
      <c r="E69" s="544"/>
      <c r="F69" s="624">
        <f>F68/E68-1</f>
        <v>3.8410924891371767E-2</v>
      </c>
      <c r="G69" s="624">
        <f t="shared" ref="G69:K69" si="15">G68/F68-1</f>
        <v>4.4999999999999929E-2</v>
      </c>
      <c r="H69" s="624">
        <f t="shared" si="15"/>
        <v>4.4999999999999929E-2</v>
      </c>
      <c r="I69" s="624">
        <f t="shared" si="15"/>
        <v>4.4999999999999707E-2</v>
      </c>
      <c r="J69" s="624">
        <f t="shared" si="15"/>
        <v>4.4999999999999929E-2</v>
      </c>
      <c r="K69" s="624">
        <f t="shared" si="15"/>
        <v>4.4999999999999707E-2</v>
      </c>
    </row>
    <row r="70" spans="2:11" x14ac:dyDescent="0.25">
      <c r="C70" t="s">
        <v>33</v>
      </c>
      <c r="D70" s="559">
        <f>Model!H18</f>
        <v>350.1</v>
      </c>
      <c r="E70" s="559">
        <f>Model!I18</f>
        <v>328.4</v>
      </c>
      <c r="F70" s="559">
        <f>Model!J18</f>
        <v>315.60000000000002</v>
      </c>
      <c r="G70" s="536">
        <f t="shared" ref="G70:K70" si="16">F70*(1+$F$56)</f>
        <v>329.80200000000002</v>
      </c>
      <c r="H70" s="536">
        <f t="shared" si="16"/>
        <v>344.64308999999997</v>
      </c>
      <c r="I70" s="536">
        <f t="shared" si="16"/>
        <v>360.15202904999995</v>
      </c>
      <c r="J70" s="536">
        <f t="shared" si="16"/>
        <v>376.35887035724994</v>
      </c>
      <c r="K70" s="536">
        <f t="shared" si="16"/>
        <v>393.29501952332618</v>
      </c>
    </row>
    <row r="71" spans="2:11" x14ac:dyDescent="0.25">
      <c r="B71" s="169"/>
      <c r="C71" s="169"/>
      <c r="D71" s="170"/>
      <c r="E71" s="170"/>
      <c r="F71" s="169"/>
      <c r="G71" s="169"/>
      <c r="H71" s="169"/>
      <c r="I71" s="169"/>
      <c r="J71" s="169"/>
      <c r="K71" s="169"/>
    </row>
    <row r="73" spans="2:11" x14ac:dyDescent="0.25">
      <c r="D73" s="544"/>
      <c r="E73" s="544"/>
      <c r="F73" s="563"/>
      <c r="G73" s="563"/>
      <c r="H73" s="563"/>
      <c r="I73" s="563"/>
      <c r="J73" s="563"/>
      <c r="K73" s="563"/>
    </row>
    <row r="74" spans="2:11" ht="23.25" x14ac:dyDescent="0.35">
      <c r="B74" s="111" t="str">
        <f>B38</f>
        <v>McDonald's Corporation</v>
      </c>
      <c r="C74" s="112"/>
      <c r="D74" s="112"/>
      <c r="E74" s="112"/>
      <c r="F74" s="112"/>
      <c r="G74" s="112"/>
      <c r="H74" s="112"/>
      <c r="I74" s="112"/>
      <c r="J74" s="112"/>
      <c r="K74" s="112"/>
    </row>
    <row r="75" spans="2:11" ht="18" x14ac:dyDescent="0.25">
      <c r="B75" s="114" t="s">
        <v>347</v>
      </c>
      <c r="C75" s="114"/>
      <c r="D75" s="114"/>
      <c r="E75" s="114"/>
      <c r="F75" s="114"/>
      <c r="G75" s="114"/>
      <c r="H75" s="114"/>
      <c r="I75" s="114"/>
      <c r="J75" s="114"/>
      <c r="K75" s="114"/>
    </row>
    <row r="76" spans="2:11" ht="15.75" thickBot="1" x14ac:dyDescent="0.3">
      <c r="B76" s="115"/>
      <c r="C76" s="115"/>
      <c r="D76" s="116"/>
      <c r="E76" s="116"/>
      <c r="F76" s="115"/>
      <c r="G76" s="115"/>
      <c r="H76" s="115"/>
      <c r="I76" s="115"/>
      <c r="J76" s="115"/>
      <c r="K76" s="115"/>
    </row>
    <row r="77" spans="2:11" x14ac:dyDescent="0.25">
      <c r="D77" s="544"/>
      <c r="E77" s="544"/>
      <c r="F77" s="563"/>
      <c r="G77" s="563"/>
      <c r="H77" s="563"/>
      <c r="I77" s="563"/>
      <c r="J77" s="563"/>
      <c r="K77" s="563"/>
    </row>
    <row r="78" spans="2:11" x14ac:dyDescent="0.25">
      <c r="B78" s="409"/>
      <c r="C78" s="409" t="s">
        <v>349</v>
      </c>
    </row>
    <row r="79" spans="2:11" x14ac:dyDescent="0.25">
      <c r="C79" t="s">
        <v>333</v>
      </c>
    </row>
    <row r="80" spans="2:11" x14ac:dyDescent="0.25">
      <c r="C80" s="531" t="s">
        <v>288</v>
      </c>
      <c r="D80" s="594">
        <f>Model!H76</f>
        <v>1.1318713450292399</v>
      </c>
      <c r="E80" s="594">
        <f>Model!I76</f>
        <v>1.2997625830959165</v>
      </c>
      <c r="F80" s="594">
        <f>Model!J76</f>
        <v>1.4187675070028012</v>
      </c>
      <c r="G80" s="588">
        <f>F80</f>
        <v>1.4187675070028012</v>
      </c>
      <c r="H80" s="588">
        <f t="shared" ref="H80:K80" si="17">G80</f>
        <v>1.4187675070028012</v>
      </c>
      <c r="I80" s="588">
        <f t="shared" si="17"/>
        <v>1.4187675070028012</v>
      </c>
      <c r="J80" s="588">
        <f t="shared" si="17"/>
        <v>1.4187675070028012</v>
      </c>
      <c r="K80" s="588">
        <f t="shared" si="17"/>
        <v>1.4187675070028012</v>
      </c>
    </row>
    <row r="81" spans="2:11" x14ac:dyDescent="0.25">
      <c r="C81" s="531" t="s">
        <v>289</v>
      </c>
      <c r="D81" s="594">
        <f>Model!H77</f>
        <v>0.97850877192982455</v>
      </c>
      <c r="E81" s="594">
        <f>Model!I77</f>
        <v>1.2428300094966762</v>
      </c>
      <c r="F81" s="594">
        <f>Model!J77</f>
        <v>1.3472455648926238</v>
      </c>
      <c r="G81" s="588">
        <f t="shared" ref="G81:K81" si="18">F81</f>
        <v>1.3472455648926238</v>
      </c>
      <c r="H81" s="588">
        <f t="shared" si="18"/>
        <v>1.3472455648926238</v>
      </c>
      <c r="I81" s="588">
        <f t="shared" si="18"/>
        <v>1.3472455648926238</v>
      </c>
      <c r="J81" s="588">
        <f t="shared" si="18"/>
        <v>1.3472455648926238</v>
      </c>
      <c r="K81" s="588">
        <f t="shared" si="18"/>
        <v>1.3472455648926238</v>
      </c>
    </row>
    <row r="82" spans="2:11" x14ac:dyDescent="0.25">
      <c r="C82" s="531" t="s">
        <v>334</v>
      </c>
      <c r="D82" s="594">
        <f>Model!H78</f>
        <v>0.83088450292397664</v>
      </c>
      <c r="E82" s="594">
        <f>Model!I78</f>
        <v>0.96210826210826217</v>
      </c>
      <c r="F82" s="594">
        <f>Model!J78</f>
        <v>1.0734360410831001</v>
      </c>
      <c r="G82" s="588">
        <f t="shared" ref="G82:K82" si="19">F82</f>
        <v>1.0734360410831001</v>
      </c>
      <c r="H82" s="588">
        <f t="shared" si="19"/>
        <v>1.0734360410831001</v>
      </c>
      <c r="I82" s="588">
        <f t="shared" si="19"/>
        <v>1.0734360410831001</v>
      </c>
      <c r="J82" s="588">
        <f t="shared" si="19"/>
        <v>1.0734360410831001</v>
      </c>
      <c r="K82" s="588">
        <f t="shared" si="19"/>
        <v>1.0734360410831001</v>
      </c>
    </row>
    <row r="83" spans="2:11" x14ac:dyDescent="0.25">
      <c r="C83" s="531"/>
      <c r="D83" s="401"/>
      <c r="E83" s="401"/>
      <c r="F83" s="401"/>
      <c r="G83" s="560"/>
      <c r="H83" s="560"/>
      <c r="I83" s="560"/>
      <c r="J83" s="560"/>
      <c r="K83" s="560"/>
    </row>
    <row r="84" spans="2:11" x14ac:dyDescent="0.25">
      <c r="C84" s="531" t="s">
        <v>336</v>
      </c>
      <c r="D84" s="401"/>
      <c r="E84" s="401"/>
      <c r="F84" s="401"/>
      <c r="G84" s="560"/>
      <c r="H84" s="560"/>
      <c r="I84" s="560"/>
      <c r="J84" s="560"/>
      <c r="K84" s="560"/>
    </row>
    <row r="85" spans="2:11" x14ac:dyDescent="0.25">
      <c r="C85" s="597" t="s">
        <v>335</v>
      </c>
      <c r="D85" s="599">
        <f>Model!H81</f>
        <v>6.2608928810832548E-2</v>
      </c>
      <c r="E85" s="599">
        <f>Model!I81</f>
        <v>6.1560428620084359E-2</v>
      </c>
      <c r="F85" s="599">
        <f>Model!J81</f>
        <v>6.236391129032258E-2</v>
      </c>
      <c r="G85" s="600">
        <f t="shared" ref="G85:K85" si="20">F85</f>
        <v>6.236391129032258E-2</v>
      </c>
      <c r="H85" s="600">
        <f t="shared" si="20"/>
        <v>6.236391129032258E-2</v>
      </c>
      <c r="I85" s="600">
        <f t="shared" si="20"/>
        <v>6.236391129032258E-2</v>
      </c>
      <c r="J85" s="600">
        <f t="shared" si="20"/>
        <v>6.236391129032258E-2</v>
      </c>
      <c r="K85" s="600">
        <f t="shared" si="20"/>
        <v>6.236391129032258E-2</v>
      </c>
    </row>
    <row r="87" spans="2:11" x14ac:dyDescent="0.25">
      <c r="C87" t="s">
        <v>291</v>
      </c>
      <c r="D87" s="599">
        <f>Model!H82</f>
        <v>9.5175438596491219E-2</v>
      </c>
      <c r="E87" s="599">
        <f>Model!I82</f>
        <v>0.11623931623931624</v>
      </c>
      <c r="F87" s="599">
        <f>Model!J82</f>
        <v>0.10854341736694678</v>
      </c>
      <c r="G87" s="600">
        <f>F87</f>
        <v>0.10854341736694678</v>
      </c>
      <c r="H87" s="600">
        <f t="shared" ref="H87:K87" si="21">G87</f>
        <v>0.10854341736694678</v>
      </c>
      <c r="I87" s="600">
        <f t="shared" si="21"/>
        <v>0.10854341736694678</v>
      </c>
      <c r="J87" s="600">
        <f t="shared" si="21"/>
        <v>0.10854341736694678</v>
      </c>
      <c r="K87" s="600">
        <f t="shared" si="21"/>
        <v>0.10854341736694678</v>
      </c>
    </row>
    <row r="89" spans="2:11" x14ac:dyDescent="0.25">
      <c r="C89" s="409" t="s">
        <v>348</v>
      </c>
    </row>
    <row r="90" spans="2:11" x14ac:dyDescent="0.25">
      <c r="C90" s="531" t="s">
        <v>338</v>
      </c>
      <c r="D90" s="390">
        <f>Model!H128</f>
        <v>2377.8000000000002</v>
      </c>
      <c r="E90" s="390">
        <f>Model!I128</f>
        <v>2492.1999999999998</v>
      </c>
      <c r="F90" s="390">
        <f>Model!J128</f>
        <v>2435.1999999999998</v>
      </c>
      <c r="G90" s="536">
        <f>F90</f>
        <v>2435.1999999999998</v>
      </c>
      <c r="H90" s="536">
        <f t="shared" ref="H90:K90" si="22">G90</f>
        <v>2435.1999999999998</v>
      </c>
      <c r="I90" s="536">
        <f t="shared" si="22"/>
        <v>2435.1999999999998</v>
      </c>
      <c r="J90" s="536">
        <f t="shared" si="22"/>
        <v>2435.1999999999998</v>
      </c>
      <c r="K90" s="536">
        <f t="shared" si="22"/>
        <v>2435.1999999999998</v>
      </c>
    </row>
    <row r="91" spans="2:11" x14ac:dyDescent="0.25">
      <c r="C91" s="531" t="s">
        <v>33</v>
      </c>
      <c r="D91" s="390">
        <f>Model!H129</f>
        <v>-483.3</v>
      </c>
      <c r="E91" s="390">
        <f>Model!I129</f>
        <v>973.6</v>
      </c>
      <c r="F91" s="390">
        <f>Model!J129</f>
        <v>98.9</v>
      </c>
      <c r="G91" s="536">
        <v>550</v>
      </c>
      <c r="H91" s="536">
        <v>550</v>
      </c>
      <c r="I91" s="536">
        <v>550</v>
      </c>
      <c r="J91" s="536">
        <v>550</v>
      </c>
      <c r="K91" s="536">
        <v>550</v>
      </c>
    </row>
    <row r="93" spans="2:11" x14ac:dyDescent="0.25">
      <c r="B93" s="169"/>
      <c r="C93" s="169"/>
      <c r="D93" s="170"/>
      <c r="E93" s="170"/>
      <c r="F93" s="169"/>
      <c r="G93" s="169"/>
      <c r="H93" s="169"/>
      <c r="I93" s="169"/>
      <c r="J93" s="169"/>
      <c r="K93" s="169"/>
    </row>
  </sheetData>
  <printOptions horizontalCentered="1"/>
  <pageMargins left="0.23622047244094491" right="0.23622047244094491" top="0.23622047244094491" bottom="0.51181102362204722" header="0.23622047244094491" footer="0.23622047244094491"/>
  <pageSetup scale="65" orientation="landscape" r:id="rId1"/>
  <headerFooter>
    <oddFooter>&amp;CPage &amp;P of &amp;N&amp;R&amp;D &amp;T</oddFooter>
  </headerFooter>
  <ignoredErrors>
    <ignoredError sqref="F59"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1181100</xdr:colOff>
                    <xdr:row>4</xdr:row>
                    <xdr:rowOff>66675</xdr:rowOff>
                  </from>
                  <to>
                    <xdr:col>4</xdr:col>
                    <xdr:colOff>104775</xdr:colOff>
                    <xdr:row>6</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DEEB0-F4FD-4D25-94C9-F658F0AAB25D}">
  <dimension ref="A1:Q42"/>
  <sheetViews>
    <sheetView showGridLines="0" view="pageBreakPreview" zoomScaleNormal="100" zoomScaleSheetLayoutView="100" workbookViewId="0">
      <selection activeCell="J36" sqref="J36"/>
    </sheetView>
  </sheetViews>
  <sheetFormatPr defaultRowHeight="15" x14ac:dyDescent="0.25"/>
  <cols>
    <col min="1" max="1" width="3.5703125" customWidth="1"/>
    <col min="2" max="2" width="1.85546875" customWidth="1"/>
    <col min="3" max="3" width="2.42578125" customWidth="1"/>
    <col min="4" max="4" width="11.42578125" customWidth="1"/>
    <col min="5" max="5" width="12.5703125" customWidth="1"/>
    <col min="6" max="6" width="10.42578125" customWidth="1"/>
    <col min="7" max="7" width="1.85546875" customWidth="1"/>
    <col min="8" max="15" width="10.7109375" customWidth="1"/>
    <col min="16" max="16" width="10.42578125" bestFit="1" customWidth="1"/>
    <col min="17" max="17" width="17.7109375" bestFit="1" customWidth="1"/>
    <col min="19" max="19" width="10.140625" customWidth="1"/>
    <col min="20" max="20" width="11.28515625" customWidth="1"/>
    <col min="21" max="21" width="10.7109375" bestFit="1" customWidth="1"/>
  </cols>
  <sheetData>
    <row r="1" spans="1:17" ht="23.25" x14ac:dyDescent="0.35">
      <c r="A1" s="176"/>
      <c r="B1" s="177"/>
      <c r="C1" s="173"/>
      <c r="D1" s="173"/>
      <c r="E1" s="173"/>
      <c r="F1" s="174"/>
      <c r="G1" s="173"/>
      <c r="H1" s="173"/>
      <c r="I1" s="173"/>
      <c r="J1" s="173"/>
      <c r="K1" s="173"/>
      <c r="L1" s="173"/>
      <c r="M1" s="173"/>
      <c r="N1" s="173"/>
      <c r="O1" s="214" t="str">
        <f>Model!O1</f>
        <v>CURRENTLY RUNNING: BASE CASE SCENARIO</v>
      </c>
    </row>
    <row r="2" spans="1:17" ht="23.25" x14ac:dyDescent="0.35">
      <c r="B2" s="177" t="str">
        <f>Model!B2</f>
        <v>McDonald's Corporation</v>
      </c>
      <c r="C2" s="173"/>
      <c r="D2" s="173"/>
      <c r="E2" s="173"/>
      <c r="F2" s="173"/>
      <c r="G2" s="173"/>
      <c r="H2" s="173"/>
      <c r="I2" s="173"/>
      <c r="J2" s="173"/>
      <c r="K2" s="173"/>
      <c r="L2" s="173"/>
      <c r="M2" s="173"/>
      <c r="N2" s="173"/>
      <c r="O2" s="173"/>
    </row>
    <row r="3" spans="1:17" ht="18" x14ac:dyDescent="0.25">
      <c r="B3" s="179" t="s">
        <v>166</v>
      </c>
      <c r="C3" s="173"/>
      <c r="D3" s="173"/>
      <c r="E3" s="173"/>
      <c r="F3" s="173"/>
      <c r="G3" s="173"/>
      <c r="H3" s="173"/>
      <c r="I3" s="173"/>
      <c r="J3" s="173"/>
      <c r="K3" s="173"/>
      <c r="L3" s="173"/>
      <c r="M3" s="173"/>
      <c r="N3" s="173"/>
      <c r="O3" s="173"/>
    </row>
    <row r="4" spans="1:17" ht="19.5" thickBot="1" x14ac:dyDescent="0.35">
      <c r="A4" s="178"/>
      <c r="B4" s="182"/>
      <c r="C4" s="183"/>
      <c r="D4" s="183"/>
      <c r="E4" s="183"/>
      <c r="F4" s="184"/>
      <c r="G4" s="183"/>
      <c r="H4" s="183"/>
      <c r="I4" s="183"/>
      <c r="J4" s="183"/>
      <c r="K4" s="183"/>
      <c r="L4" s="183"/>
      <c r="M4" s="183"/>
      <c r="N4" s="183"/>
      <c r="O4" s="183"/>
    </row>
    <row r="5" spans="1:17" x14ac:dyDescent="0.25">
      <c r="B5" s="236" t="e">
        <f>Model!#REF!</f>
        <v>#REF!</v>
      </c>
      <c r="O5" s="197"/>
    </row>
    <row r="6" spans="1:17" x14ac:dyDescent="0.25">
      <c r="H6" s="173"/>
      <c r="I6" s="173"/>
      <c r="J6" s="173"/>
      <c r="K6" s="187" t="s">
        <v>2</v>
      </c>
      <c r="L6" s="188"/>
      <c r="M6" s="188"/>
      <c r="N6" s="188"/>
      <c r="O6" s="188"/>
    </row>
    <row r="7" spans="1:17" x14ac:dyDescent="0.25">
      <c r="G7" s="266"/>
      <c r="H7" s="190">
        <f>Model!H7</f>
        <v>2021</v>
      </c>
      <c r="I7" s="190">
        <f>Model!I7</f>
        <v>2022</v>
      </c>
      <c r="J7" s="190">
        <f>Model!J7</f>
        <v>2023</v>
      </c>
      <c r="K7" s="267">
        <f>Model!K7</f>
        <v>2024</v>
      </c>
      <c r="L7" s="267">
        <f>Model!L7</f>
        <v>2025</v>
      </c>
      <c r="M7" s="267">
        <f>Model!M7</f>
        <v>2026</v>
      </c>
      <c r="N7" s="267">
        <f>Model!N7</f>
        <v>2027</v>
      </c>
      <c r="O7" s="267">
        <f>Model!O7</f>
        <v>2028</v>
      </c>
    </row>
    <row r="8" spans="1:17" x14ac:dyDescent="0.25">
      <c r="B8" s="191"/>
      <c r="F8" s="185"/>
    </row>
    <row r="9" spans="1:17" x14ac:dyDescent="0.25">
      <c r="B9" s="191"/>
      <c r="C9" s="191" t="s">
        <v>203</v>
      </c>
      <c r="F9" s="185"/>
    </row>
    <row r="10" spans="1:17" x14ac:dyDescent="0.25">
      <c r="D10" t="s">
        <v>220</v>
      </c>
      <c r="F10" s="185"/>
      <c r="J10" s="379">
        <f>Model!J442</f>
        <v>722.69999999999993</v>
      </c>
      <c r="K10" s="379">
        <f>Model!K442</f>
        <v>713.6881119775021</v>
      </c>
      <c r="L10" s="379">
        <f>Model!L442</f>
        <v>704.74013805445463</v>
      </c>
      <c r="M10" s="379">
        <f>Model!M442</f>
        <v>695.87205675572011</v>
      </c>
      <c r="N10" s="379">
        <f>Model!N442</f>
        <v>687.08386808129853</v>
      </c>
      <c r="O10" s="379">
        <f>Model!O442</f>
        <v>678.45546465550274</v>
      </c>
    </row>
    <row r="11" spans="1:17" x14ac:dyDescent="0.25">
      <c r="D11" t="s">
        <v>213</v>
      </c>
      <c r="F11" s="185"/>
      <c r="J11" s="570">
        <f>Assumptions!$N$8</f>
        <v>312.92</v>
      </c>
      <c r="K11" s="314">
        <f>J11</f>
        <v>312.92</v>
      </c>
      <c r="L11" s="314">
        <f t="shared" ref="L11:O11" si="0">K11</f>
        <v>312.92</v>
      </c>
      <c r="M11" s="314">
        <f t="shared" si="0"/>
        <v>312.92</v>
      </c>
      <c r="N11" s="314">
        <f t="shared" si="0"/>
        <v>312.92</v>
      </c>
      <c r="O11" s="314">
        <f t="shared" si="0"/>
        <v>312.92</v>
      </c>
    </row>
    <row r="12" spans="1:17" x14ac:dyDescent="0.25">
      <c r="F12" s="185"/>
      <c r="J12" s="451"/>
      <c r="K12" s="242"/>
      <c r="L12" s="242"/>
      <c r="M12" s="242"/>
      <c r="N12" s="242"/>
      <c r="O12" s="242"/>
    </row>
    <row r="13" spans="1:17" x14ac:dyDescent="0.25">
      <c r="D13" t="s">
        <v>204</v>
      </c>
      <c r="F13" s="185"/>
      <c r="H13" s="527">
        <v>10.11</v>
      </c>
      <c r="I13" s="527">
        <v>8.39</v>
      </c>
      <c r="J13" s="527">
        <v>11.63</v>
      </c>
      <c r="K13" s="528">
        <f>Model!K$155/Model!K440</f>
        <v>11.282011268902831</v>
      </c>
      <c r="L13" s="528">
        <f>Model!L$155/Model!L440</f>
        <v>12.130215543527939</v>
      </c>
      <c r="M13" s="528">
        <f>Model!M$155/Model!M440</f>
        <v>13.095972945039208</v>
      </c>
      <c r="N13" s="528">
        <f>Model!N$155/Model!N440</f>
        <v>14.139109979869067</v>
      </c>
      <c r="O13" s="528">
        <f>Model!O$155/Model!O440</f>
        <v>15.25158327592194</v>
      </c>
      <c r="Q13" s="452"/>
    </row>
    <row r="14" spans="1:17" x14ac:dyDescent="0.25">
      <c r="D14" t="s">
        <v>205</v>
      </c>
      <c r="F14" s="185"/>
      <c r="H14" s="527">
        <v>10.039999999999999</v>
      </c>
      <c r="I14" s="527">
        <v>8.33</v>
      </c>
      <c r="J14" s="527">
        <v>11.56</v>
      </c>
      <c r="K14" s="528">
        <f>Model!K$155/Model!K442</f>
        <v>11.272918058292692</v>
      </c>
      <c r="L14" s="528">
        <f>Model!L$155/Model!L442</f>
        <v>12.119214441692822</v>
      </c>
      <c r="M14" s="528">
        <f>Model!M$155/Model!M442</f>
        <v>13.082441082784969</v>
      </c>
      <c r="N14" s="528">
        <f>Model!N$155/Model!N442</f>
        <v>14.122669328964321</v>
      </c>
      <c r="O14" s="528">
        <f>Model!O$155/Model!O442</f>
        <v>15.230031576634634</v>
      </c>
    </row>
    <row r="15" spans="1:17" x14ac:dyDescent="0.25">
      <c r="D15" t="s">
        <v>206</v>
      </c>
      <c r="F15" s="185"/>
      <c r="H15" s="394"/>
      <c r="I15" s="394"/>
      <c r="J15" s="242">
        <f>Model!J251/J10</f>
        <v>-6.5126608551266125</v>
      </c>
      <c r="K15" s="242">
        <f>Model!K251/K10</f>
        <v>-4.9097443805543755</v>
      </c>
      <c r="L15" s="242">
        <f>Model!L251/L10</f>
        <v>-2.8855710893506665</v>
      </c>
      <c r="M15" s="242">
        <f>Model!M251/M10</f>
        <v>-0.36892582990079659</v>
      </c>
      <c r="N15" s="242">
        <f>Model!N251/N10</f>
        <v>2.6852674684355629</v>
      </c>
      <c r="O15" s="242">
        <f>Model!O251/O10</f>
        <v>6.3548062602113617</v>
      </c>
    </row>
    <row r="16" spans="1:17" x14ac:dyDescent="0.25">
      <c r="D16" t="s">
        <v>208</v>
      </c>
      <c r="F16" s="185"/>
      <c r="H16" s="394"/>
      <c r="I16" s="394"/>
      <c r="J16" s="242">
        <f>Model!J118/J10</f>
        <v>35.275633042756333</v>
      </c>
      <c r="K16" s="242">
        <f>Model!K118/K10</f>
        <v>37.242139113615877</v>
      </c>
      <c r="L16" s="242">
        <f>Model!L118/L10</f>
        <v>39.41217150541214</v>
      </c>
      <c r="M16" s="242">
        <f>Model!M118/M10</f>
        <v>41.710583388733198</v>
      </c>
      <c r="N16" s="242">
        <f>Model!N118/N10</f>
        <v>44.145069016398089</v>
      </c>
      <c r="O16" s="242">
        <f>Model!O118/O10</f>
        <v>46.718285639485011</v>
      </c>
    </row>
    <row r="17" spans="2:15" x14ac:dyDescent="0.25">
      <c r="C17" s="191"/>
      <c r="D17" t="s">
        <v>251</v>
      </c>
      <c r="F17" s="185"/>
      <c r="H17" s="394"/>
      <c r="I17" s="394"/>
      <c r="J17" s="242">
        <f>Model!J483/J10</f>
        <v>10.038051750380513</v>
      </c>
      <c r="K17" s="242">
        <f>Model!K483/K10</f>
        <v>8.7998157950035196</v>
      </c>
      <c r="L17" s="242">
        <f>Model!L483/L10</f>
        <v>10.902781959719235</v>
      </c>
      <c r="M17" s="242">
        <f>Model!M483/M10</f>
        <v>11.5923255126217</v>
      </c>
      <c r="N17" s="242">
        <f>Model!N483/N10</f>
        <v>12.333233211152061</v>
      </c>
      <c r="O17" s="242">
        <f>Model!O483/O10</f>
        <v>13.125793156700123</v>
      </c>
    </row>
    <row r="18" spans="2:15" x14ac:dyDescent="0.25">
      <c r="D18" t="s">
        <v>225</v>
      </c>
      <c r="F18" s="185"/>
      <c r="J18" s="528">
        <f>Model!J452/J10</f>
        <v>6.2720354227203554</v>
      </c>
      <c r="K18" s="528">
        <f>Model!K452/K10</f>
        <v>5.6364590291463461</v>
      </c>
      <c r="L18" s="528">
        <f>Model!L452/L10</f>
        <v>6.0596072208464111</v>
      </c>
      <c r="M18" s="528">
        <f>Model!M452/M10</f>
        <v>6.5412205413924847</v>
      </c>
      <c r="N18" s="528">
        <f>Model!N452/N10</f>
        <v>7.0613346644821604</v>
      </c>
      <c r="O18" s="528">
        <f>Model!O452/O10</f>
        <v>7.6150157883173168</v>
      </c>
    </row>
    <row r="19" spans="2:15" x14ac:dyDescent="0.25">
      <c r="F19" s="185"/>
    </row>
    <row r="20" spans="2:15" x14ac:dyDescent="0.25">
      <c r="C20" s="191" t="s">
        <v>238</v>
      </c>
      <c r="F20" s="185"/>
    </row>
    <row r="21" spans="2:15" x14ac:dyDescent="0.25">
      <c r="C21" s="191"/>
      <c r="D21" t="s">
        <v>255</v>
      </c>
      <c r="F21" s="185"/>
      <c r="J21" s="363">
        <f>J11/J14</f>
        <v>27.069204152249135</v>
      </c>
      <c r="K21" s="363">
        <f t="shared" ref="K21:O21" si="1">K11/K14</f>
        <v>27.758562457553463</v>
      </c>
      <c r="L21" s="363">
        <f t="shared" si="1"/>
        <v>25.820155382636425</v>
      </c>
      <c r="M21" s="363">
        <f t="shared" si="1"/>
        <v>23.919083450852899</v>
      </c>
      <c r="N21" s="363">
        <f t="shared" si="1"/>
        <v>22.157284342714824</v>
      </c>
      <c r="O21" s="363">
        <f t="shared" si="1"/>
        <v>20.546247617770579</v>
      </c>
    </row>
    <row r="22" spans="2:15" x14ac:dyDescent="0.25">
      <c r="B22" s="191"/>
      <c r="C22" s="191"/>
      <c r="D22" t="s">
        <v>207</v>
      </c>
      <c r="F22" s="185"/>
      <c r="H22" s="394"/>
      <c r="I22" s="394"/>
      <c r="J22" s="363">
        <f>J11/J15</f>
        <v>-48.047949518771084</v>
      </c>
      <c r="K22" s="363">
        <f t="shared" ref="K22:O22" si="2">K11/K15</f>
        <v>-63.734478976004688</v>
      </c>
      <c r="L22" s="363">
        <f t="shared" si="2"/>
        <v>-108.44300497563403</v>
      </c>
      <c r="M22" s="363">
        <f t="shared" si="2"/>
        <v>-848.19216936950056</v>
      </c>
      <c r="N22" s="363">
        <f t="shared" si="2"/>
        <v>116.53215319452228</v>
      </c>
      <c r="O22" s="363">
        <f t="shared" si="2"/>
        <v>49.241469713915755</v>
      </c>
    </row>
    <row r="23" spans="2:15" x14ac:dyDescent="0.25">
      <c r="D23" t="s">
        <v>209</v>
      </c>
      <c r="F23" s="185"/>
      <c r="H23" s="394"/>
      <c r="I23" s="394"/>
      <c r="J23" s="363">
        <f>J11/J16</f>
        <v>8.870712528977748</v>
      </c>
      <c r="K23" s="363">
        <f t="shared" ref="K23:O23" si="3">K11/K16</f>
        <v>8.4023100565025057</v>
      </c>
      <c r="L23" s="363">
        <f t="shared" si="3"/>
        <v>7.9396792424144751</v>
      </c>
      <c r="M23" s="363">
        <f t="shared" si="3"/>
        <v>7.5021726999993366</v>
      </c>
      <c r="N23" s="363">
        <f t="shared" si="3"/>
        <v>7.0884474069745593</v>
      </c>
      <c r="O23" s="363">
        <f t="shared" si="3"/>
        <v>6.6980197521530762</v>
      </c>
    </row>
    <row r="24" spans="2:15" x14ac:dyDescent="0.25">
      <c r="D24" t="s">
        <v>252</v>
      </c>
      <c r="F24" s="185"/>
      <c r="J24" s="363">
        <f>J11/J17</f>
        <v>31.17337983320699</v>
      </c>
      <c r="K24" s="363">
        <f t="shared" ref="K24:O24" si="4">K11/K17</f>
        <v>35.559835261287404</v>
      </c>
      <c r="L24" s="363">
        <f t="shared" si="4"/>
        <v>28.700931666440319</v>
      </c>
      <c r="M24" s="363">
        <f t="shared" si="4"/>
        <v>26.993720945749267</v>
      </c>
      <c r="N24" s="363">
        <f t="shared" si="4"/>
        <v>25.372097862955258</v>
      </c>
      <c r="O24" s="363">
        <f t="shared" si="4"/>
        <v>23.840083129777838</v>
      </c>
    </row>
    <row r="25" spans="2:15" x14ac:dyDescent="0.25">
      <c r="F25" s="185"/>
    </row>
    <row r="26" spans="2:15" x14ac:dyDescent="0.25">
      <c r="D26" t="s">
        <v>223</v>
      </c>
      <c r="F26" s="185"/>
      <c r="J26" s="363">
        <f>Model!J482/Model!J118</f>
        <v>10.148424277370488</v>
      </c>
      <c r="K26" s="363">
        <f>Model!K482/Model!K118</f>
        <v>9.4459041086765723</v>
      </c>
      <c r="L26" s="363">
        <f>Model!L482/Model!L118</f>
        <v>9.5299591015742333</v>
      </c>
      <c r="M26" s="363">
        <f>Model!M482/Model!M118</f>
        <v>9.6479480573584979</v>
      </c>
      <c r="N26" s="363">
        <f>Model!N482/Model!N118</f>
        <v>9.7672605981987459</v>
      </c>
      <c r="O26" s="363">
        <f>Model!O482/Model!O118</f>
        <v>9.8787885859944957</v>
      </c>
    </row>
    <row r="27" spans="2:15" x14ac:dyDescent="0.25">
      <c r="D27" t="s">
        <v>222</v>
      </c>
      <c r="F27" s="185"/>
      <c r="J27" s="363">
        <f>Model!J482/Model!J484</f>
        <v>21.509168634232324</v>
      </c>
      <c r="K27" s="363">
        <f>Model!K482/Model!K484</f>
        <v>21.387790077781169</v>
      </c>
      <c r="L27" s="363">
        <f>Model!L482/Model!L484</f>
        <v>21.337437131285668</v>
      </c>
      <c r="M27" s="363">
        <f>Model!M482/Model!M484</f>
        <v>21.373487009263695</v>
      </c>
      <c r="N27" s="363">
        <f>Model!N482/Model!N484</f>
        <v>21.421324780121161</v>
      </c>
      <c r="O27" s="363">
        <f>Model!O482/Model!O484</f>
        <v>21.460465168650838</v>
      </c>
    </row>
    <row r="28" spans="2:15" x14ac:dyDescent="0.25">
      <c r="F28" s="185"/>
      <c r="J28" s="363"/>
      <c r="K28" s="363"/>
      <c r="L28" s="363"/>
      <c r="M28" s="363"/>
      <c r="N28" s="363"/>
      <c r="O28" s="363"/>
    </row>
    <row r="29" spans="2:15" x14ac:dyDescent="0.25">
      <c r="C29" s="191" t="s">
        <v>256</v>
      </c>
      <c r="F29" s="185"/>
      <c r="J29" s="363"/>
      <c r="K29" s="363"/>
      <c r="L29" s="363"/>
      <c r="M29" s="363"/>
      <c r="N29" s="363"/>
      <c r="O29" s="363"/>
    </row>
    <row r="30" spans="2:15" x14ac:dyDescent="0.25">
      <c r="C30" s="191"/>
      <c r="D30" t="s">
        <v>257</v>
      </c>
      <c r="F30" s="185"/>
      <c r="J30" s="363">
        <f>J21</f>
        <v>27.069204152249135</v>
      </c>
      <c r="K30" s="467">
        <f>Assumptions!J91</f>
        <v>27</v>
      </c>
      <c r="L30" s="467">
        <f>Assumptions!K91</f>
        <v>27</v>
      </c>
      <c r="M30" s="467">
        <f>Assumptions!L91</f>
        <v>27</v>
      </c>
      <c r="N30" s="467">
        <f>Assumptions!M91</f>
        <v>27</v>
      </c>
      <c r="O30" s="467">
        <f>Assumptions!N91</f>
        <v>27</v>
      </c>
    </row>
    <row r="31" spans="2:15" x14ac:dyDescent="0.25">
      <c r="D31" t="s">
        <v>213</v>
      </c>
      <c r="F31" s="185"/>
      <c r="J31" s="451">
        <f>Assumptions!$N$8</f>
        <v>312.92</v>
      </c>
      <c r="K31" s="242">
        <f>K30*K14</f>
        <v>304.36878757390269</v>
      </c>
      <c r="L31" s="242">
        <f t="shared" ref="L31:O31" si="5">L30*L14</f>
        <v>327.21878992570618</v>
      </c>
      <c r="M31" s="242">
        <f>M30*M14</f>
        <v>353.22590923519419</v>
      </c>
      <c r="N31" s="242">
        <f t="shared" si="5"/>
        <v>381.31207188203666</v>
      </c>
      <c r="O31" s="242">
        <f t="shared" si="5"/>
        <v>411.21085256913511</v>
      </c>
    </row>
    <row r="32" spans="2:15" x14ac:dyDescent="0.25">
      <c r="D32" t="s">
        <v>259</v>
      </c>
      <c r="F32" s="185"/>
      <c r="J32" s="363"/>
      <c r="K32" s="454">
        <f>K31/J31-1</f>
        <v>-2.7327152071127792E-2</v>
      </c>
      <c r="L32" s="454">
        <f t="shared" ref="L32:O32" si="6">L31/K31-1</f>
        <v>7.5073408590739188E-2</v>
      </c>
      <c r="M32" s="454">
        <f t="shared" si="6"/>
        <v>7.9479296758578011E-2</v>
      </c>
      <c r="N32" s="454">
        <f t="shared" si="6"/>
        <v>7.9513314036489424E-2</v>
      </c>
      <c r="O32" s="454">
        <f t="shared" si="6"/>
        <v>7.8410265218007646E-2</v>
      </c>
    </row>
    <row r="33" spans="2:15" x14ac:dyDescent="0.25">
      <c r="D33" t="s">
        <v>260</v>
      </c>
      <c r="F33" s="185"/>
      <c r="J33" s="242">
        <f>-J31</f>
        <v>-312.92</v>
      </c>
      <c r="K33" s="242">
        <f>K18</f>
        <v>5.6364590291463461</v>
      </c>
      <c r="L33" s="242">
        <f t="shared" ref="L33:N33" si="7">L18</f>
        <v>6.0596072208464111</v>
      </c>
      <c r="M33" s="242">
        <f t="shared" si="7"/>
        <v>6.5412205413924847</v>
      </c>
      <c r="N33" s="242">
        <f t="shared" si="7"/>
        <v>7.0613346644821604</v>
      </c>
      <c r="O33" s="242">
        <f>O18+O31</f>
        <v>418.82586835745241</v>
      </c>
    </row>
    <row r="34" spans="2:15" x14ac:dyDescent="0.25">
      <c r="D34" t="s">
        <v>261</v>
      </c>
      <c r="F34" s="185"/>
      <c r="J34" s="454">
        <f>IRR(J33:O33)</f>
        <v>7.4897976632885666E-2</v>
      </c>
      <c r="K34" s="454"/>
      <c r="L34" s="454"/>
      <c r="M34" s="454"/>
      <c r="N34" s="454"/>
      <c r="O34" s="454"/>
    </row>
    <row r="35" spans="2:15" x14ac:dyDescent="0.25">
      <c r="D35" t="str">
        <f>"NPV @ "&amp;TEXT(Assumptions!$J$92,"0.0%")</f>
        <v>NPV @ 10.0%</v>
      </c>
      <c r="F35" s="185"/>
      <c r="J35" s="242">
        <f>NPV(Assumptions!$J$92,K33:O33)</f>
        <v>279.92740822409496</v>
      </c>
      <c r="K35" s="454"/>
      <c r="L35" s="454"/>
      <c r="M35" s="454"/>
      <c r="N35" s="454"/>
      <c r="O35" s="454"/>
    </row>
    <row r="36" spans="2:15" x14ac:dyDescent="0.25">
      <c r="D36" t="s">
        <v>263</v>
      </c>
      <c r="F36" s="185"/>
      <c r="J36" s="314">
        <f>J35-J31</f>
        <v>-32.992591775905055</v>
      </c>
      <c r="K36" s="454">
        <f>J36/J31</f>
        <v>-0.10543458959448118</v>
      </c>
      <c r="L36" s="454"/>
      <c r="M36" s="454"/>
      <c r="N36" s="454"/>
      <c r="O36" s="454"/>
    </row>
    <row r="37" spans="2:15" x14ac:dyDescent="0.25">
      <c r="F37" s="185"/>
      <c r="J37" s="363"/>
      <c r="K37" s="363"/>
      <c r="L37" s="363"/>
      <c r="M37" s="363"/>
      <c r="N37" s="363"/>
      <c r="O37" s="363"/>
    </row>
    <row r="38" spans="2:15" x14ac:dyDescent="0.25">
      <c r="C38" s="191" t="s">
        <v>239</v>
      </c>
      <c r="D38" s="191"/>
      <c r="E38" s="191"/>
      <c r="F38" s="226"/>
      <c r="G38" s="191"/>
      <c r="H38" s="191"/>
    </row>
    <row r="39" spans="2:15" x14ac:dyDescent="0.25">
      <c r="D39" t="s">
        <v>226</v>
      </c>
      <c r="F39" s="185"/>
      <c r="H39" s="452"/>
      <c r="I39" s="452"/>
      <c r="J39" s="454">
        <f>J14/J31</f>
        <v>3.6942349482295793E-2</v>
      </c>
      <c r="K39" s="454">
        <f t="shared" ref="K39:O39" si="8">K14/K31</f>
        <v>3.7037037037037035E-2</v>
      </c>
      <c r="L39" s="454">
        <f t="shared" si="8"/>
        <v>3.7037037037037042E-2</v>
      </c>
      <c r="M39" s="454">
        <f t="shared" si="8"/>
        <v>3.7037037037037035E-2</v>
      </c>
      <c r="N39" s="454">
        <f t="shared" si="8"/>
        <v>3.7037037037037035E-2</v>
      </c>
      <c r="O39" s="454">
        <f t="shared" si="8"/>
        <v>3.7037037037037035E-2</v>
      </c>
    </row>
    <row r="40" spans="2:15" x14ac:dyDescent="0.25">
      <c r="D40" t="s">
        <v>241</v>
      </c>
      <c r="F40" s="185"/>
      <c r="H40" s="394"/>
      <c r="I40" s="394"/>
      <c r="J40" s="454">
        <f>J17/J31</f>
        <v>3.2078651893073351E-2</v>
      </c>
      <c r="K40" s="454">
        <f t="shared" ref="K40:O40" si="9">K17/K31</f>
        <v>2.8911689221309749E-2</v>
      </c>
      <c r="L40" s="454">
        <f t="shared" si="9"/>
        <v>3.3319547334658473E-2</v>
      </c>
      <c r="M40" s="454">
        <f t="shared" si="9"/>
        <v>3.2818446239465948E-2</v>
      </c>
      <c r="N40" s="454">
        <f t="shared" si="9"/>
        <v>3.2344198153179612E-2</v>
      </c>
      <c r="O40" s="454">
        <f t="shared" si="9"/>
        <v>3.1919860759252065E-2</v>
      </c>
    </row>
    <row r="41" spans="2:15" x14ac:dyDescent="0.25">
      <c r="D41" t="s">
        <v>224</v>
      </c>
      <c r="F41" s="185"/>
      <c r="J41" s="529">
        <f>J18/J31</f>
        <v>2.004357478818981E-2</v>
      </c>
      <c r="K41" s="529">
        <f t="shared" ref="K41:O41" si="10">K18/K31</f>
        <v>1.8518518518518517E-2</v>
      </c>
      <c r="L41" s="529">
        <f t="shared" si="10"/>
        <v>1.8518518518518521E-2</v>
      </c>
      <c r="M41" s="529">
        <f t="shared" si="10"/>
        <v>1.8518518518518517E-2</v>
      </c>
      <c r="N41" s="529">
        <f t="shared" si="10"/>
        <v>1.8518518518518517E-2</v>
      </c>
      <c r="O41" s="529">
        <f t="shared" si="10"/>
        <v>1.8518518518518517E-2</v>
      </c>
    </row>
    <row r="42" spans="2:15" x14ac:dyDescent="0.25">
      <c r="B42" s="212"/>
      <c r="C42" s="212"/>
      <c r="D42" s="212"/>
      <c r="E42" s="212"/>
      <c r="F42" s="212"/>
      <c r="G42" s="212"/>
      <c r="H42" s="212"/>
      <c r="I42" s="212"/>
      <c r="J42" s="212"/>
      <c r="K42" s="212"/>
      <c r="L42" s="212"/>
      <c r="M42" s="212"/>
      <c r="N42" s="212"/>
      <c r="O42" s="212"/>
    </row>
  </sheetData>
  <printOptions horizontalCentered="1"/>
  <pageMargins left="0.23622047244094491" right="0.23622047244094491" top="0.23622047244094491" bottom="0.51181102362204722" header="0.23622047244094491" footer="0.23622047244094491"/>
  <pageSetup scale="65" orientation="landscape" r:id="rId1"/>
  <headerFooter>
    <oddFooter>&amp;CPage &amp;P of &amp;N&amp;R&amp;D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8F616-2A0B-48A4-849B-1A32328F5B4C}">
  <dimension ref="A1:II505"/>
  <sheetViews>
    <sheetView showGridLines="0" view="pageBreakPreview" zoomScale="115" zoomScaleNormal="100" zoomScaleSheetLayoutView="115" workbookViewId="0">
      <selection activeCell="A509" sqref="A509:XFD554"/>
    </sheetView>
  </sheetViews>
  <sheetFormatPr defaultRowHeight="15" x14ac:dyDescent="0.25"/>
  <cols>
    <col min="1" max="1" width="3.5703125" customWidth="1"/>
    <col min="2" max="2" width="1.85546875" customWidth="1"/>
    <col min="3" max="3" width="2.42578125" customWidth="1"/>
    <col min="4" max="4" width="11.42578125" customWidth="1"/>
    <col min="5" max="5" width="12.5703125" customWidth="1"/>
    <col min="6" max="6" width="10.42578125" customWidth="1"/>
    <col min="7" max="7" width="1.85546875" customWidth="1"/>
    <col min="8" max="15" width="10.7109375" customWidth="1"/>
    <col min="16" max="16" width="10.42578125" bestFit="1" customWidth="1"/>
    <col min="17" max="17" width="17.7109375" bestFit="1" customWidth="1"/>
    <col min="19" max="19" width="10.140625" customWidth="1"/>
    <col min="20" max="20" width="11.28515625" customWidth="1"/>
    <col min="21" max="21" width="10.7109375" bestFit="1" customWidth="1"/>
  </cols>
  <sheetData>
    <row r="1" spans="1:16" ht="12.75" customHeight="1" x14ac:dyDescent="0.35">
      <c r="A1" s="171"/>
      <c r="B1" s="172"/>
      <c r="C1" s="173"/>
      <c r="D1" s="173"/>
      <c r="E1" s="173"/>
      <c r="F1" s="174"/>
      <c r="G1" s="173"/>
      <c r="H1" s="173"/>
      <c r="I1" s="173"/>
      <c r="J1" s="173"/>
      <c r="K1" s="173"/>
      <c r="L1" s="173"/>
      <c r="M1" s="173"/>
      <c r="N1" s="173"/>
      <c r="O1" s="175" t="str">
        <f>"CURRENTLY RUNNING: "&amp;UPPER(CHOOSE(Scenarios!$D$6,Scenarios!C14,Scenarios!C15,Scenarios!C16))&amp;" SCENARIO"</f>
        <v>CURRENTLY RUNNING: BASE CASE SCENARIO</v>
      </c>
    </row>
    <row r="2" spans="1:16" ht="23.25" x14ac:dyDescent="0.35">
      <c r="A2" s="176"/>
      <c r="B2" s="177" t="str">
        <f>Scenarios!B1</f>
        <v>McDonald's Corporation</v>
      </c>
      <c r="C2" s="173"/>
      <c r="D2" s="173"/>
      <c r="E2" s="173"/>
      <c r="F2" s="174"/>
      <c r="G2" s="173"/>
      <c r="H2" s="173"/>
      <c r="I2" s="173"/>
      <c r="J2" s="173"/>
      <c r="K2" s="173"/>
      <c r="L2" s="173"/>
      <c r="M2" s="173"/>
      <c r="N2" s="173"/>
      <c r="O2" s="173"/>
    </row>
    <row r="3" spans="1:16" ht="18.75" x14ac:dyDescent="0.3">
      <c r="A3" s="178"/>
      <c r="B3" s="179" t="s">
        <v>64</v>
      </c>
      <c r="C3" s="180"/>
      <c r="D3" s="180"/>
      <c r="E3" s="180"/>
      <c r="F3" s="181"/>
      <c r="G3" s="180"/>
      <c r="H3" s="180"/>
      <c r="I3" s="180"/>
      <c r="J3" s="180"/>
      <c r="K3" s="180"/>
      <c r="L3" s="180"/>
      <c r="M3" s="180"/>
      <c r="N3" s="180"/>
      <c r="O3" s="180"/>
    </row>
    <row r="4" spans="1:16" ht="3" customHeight="1" thickBot="1" x14ac:dyDescent="0.35">
      <c r="A4" s="178"/>
      <c r="B4" s="182"/>
      <c r="C4" s="183"/>
      <c r="D4" s="183"/>
      <c r="E4" s="183"/>
      <c r="F4" s="184"/>
      <c r="G4" s="183"/>
      <c r="H4" s="183"/>
      <c r="I4" s="183"/>
      <c r="J4" s="183"/>
      <c r="K4" s="183"/>
      <c r="L4" s="183"/>
      <c r="M4" s="183"/>
      <c r="N4" s="183"/>
      <c r="O4" s="183"/>
    </row>
    <row r="5" spans="1:16" ht="12.75" customHeight="1" x14ac:dyDescent="0.3">
      <c r="A5" s="179"/>
      <c r="B5" s="180"/>
      <c r="C5" s="180"/>
      <c r="D5" s="180"/>
      <c r="E5" s="180"/>
      <c r="F5" s="181"/>
      <c r="G5" s="180"/>
      <c r="H5" s="180"/>
      <c r="I5" s="180"/>
      <c r="J5" s="180"/>
      <c r="K5" s="180"/>
      <c r="L5" s="180"/>
      <c r="M5" s="180"/>
      <c r="N5" s="180"/>
      <c r="O5" s="180"/>
    </row>
    <row r="6" spans="1:16" x14ac:dyDescent="0.25">
      <c r="F6" s="185"/>
      <c r="G6" s="186"/>
      <c r="K6" s="187" t="s">
        <v>2</v>
      </c>
      <c r="L6" s="188"/>
      <c r="M6" s="188"/>
      <c r="N6" s="188"/>
      <c r="O6" s="188"/>
    </row>
    <row r="7" spans="1:16" x14ac:dyDescent="0.25">
      <c r="F7" s="185"/>
      <c r="G7" s="189"/>
      <c r="H7" s="190">
        <f>I7-1</f>
        <v>2021</v>
      </c>
      <c r="I7" s="190">
        <f>J7-1</f>
        <v>2022</v>
      </c>
      <c r="J7" s="190">
        <f>K7-1</f>
        <v>2023</v>
      </c>
      <c r="K7" s="191">
        <f>Scenarios!G6</f>
        <v>2024</v>
      </c>
      <c r="L7" s="191">
        <f>Scenarios!H6</f>
        <v>2025</v>
      </c>
      <c r="M7" s="191">
        <f>Scenarios!I6</f>
        <v>2026</v>
      </c>
      <c r="N7" s="191">
        <f>Scenarios!J6</f>
        <v>2027</v>
      </c>
      <c r="O7" s="191">
        <f>Scenarios!K6</f>
        <v>2028</v>
      </c>
    </row>
    <row r="8" spans="1:16" ht="12.75" customHeight="1" x14ac:dyDescent="0.25">
      <c r="B8" s="193" t="s">
        <v>65</v>
      </c>
      <c r="F8" s="185"/>
      <c r="H8" s="192"/>
      <c r="I8" s="192"/>
      <c r="J8" s="192"/>
    </row>
    <row r="9" spans="1:16" ht="12.75" customHeight="1" x14ac:dyDescent="0.25">
      <c r="B9" s="193"/>
      <c r="C9" t="str">
        <f>Scenarios!C57</f>
        <v>Franchised</v>
      </c>
      <c r="F9" s="185"/>
      <c r="H9" s="192"/>
      <c r="I9" s="192"/>
      <c r="J9" s="192"/>
    </row>
    <row r="10" spans="1:16" ht="12.75" customHeight="1" x14ac:dyDescent="0.25">
      <c r="C10" s="531" t="str">
        <f>Scenarios!C58</f>
        <v>US</v>
      </c>
      <c r="E10" s="185"/>
      <c r="F10" s="185" t="s">
        <v>330</v>
      </c>
      <c r="H10" s="588">
        <v>0.45</v>
      </c>
      <c r="I10" s="588">
        <v>0.51</v>
      </c>
      <c r="J10" s="588">
        <v>0.55000000000000004</v>
      </c>
      <c r="K10" s="592">
        <f>Scenarios!G45</f>
        <v>0.55000000000000004</v>
      </c>
      <c r="L10" s="592">
        <f>Scenarios!H45</f>
        <v>0.55000000000000004</v>
      </c>
      <c r="M10" s="592">
        <f>Scenarios!I45</f>
        <v>0.55000000000000004</v>
      </c>
      <c r="N10" s="592">
        <f>Scenarios!J45</f>
        <v>0.55000000000000004</v>
      </c>
      <c r="O10" s="592">
        <f>Scenarios!K45</f>
        <v>0.55000000000000004</v>
      </c>
      <c r="P10" t="s">
        <v>343</v>
      </c>
    </row>
    <row r="11" spans="1:16" ht="12.75" customHeight="1" x14ac:dyDescent="0.25">
      <c r="C11" s="531" t="str">
        <f>Scenarios!C59</f>
        <v>IOM</v>
      </c>
      <c r="E11" s="185"/>
      <c r="F11" s="185" t="s">
        <v>330</v>
      </c>
      <c r="H11" s="588">
        <v>0.63</v>
      </c>
      <c r="I11" s="588">
        <v>0.64</v>
      </c>
      <c r="J11" s="588">
        <v>0.72</v>
      </c>
      <c r="K11" s="592">
        <f>Scenarios!G46</f>
        <v>0.72</v>
      </c>
      <c r="L11" s="592">
        <f>Scenarios!H46</f>
        <v>0.72</v>
      </c>
      <c r="M11" s="592">
        <f>Scenarios!I46</f>
        <v>0.72</v>
      </c>
      <c r="N11" s="592">
        <f>Scenarios!J46</f>
        <v>0.72</v>
      </c>
      <c r="O11" s="592">
        <f>Scenarios!K46</f>
        <v>0.72</v>
      </c>
      <c r="P11" t="s">
        <v>343</v>
      </c>
    </row>
    <row r="12" spans="1:16" ht="12.75" customHeight="1" x14ac:dyDescent="0.25">
      <c r="C12" s="531" t="str">
        <f>Scenarios!C60</f>
        <v>IDL</v>
      </c>
      <c r="E12" s="185"/>
      <c r="F12" s="185" t="s">
        <v>330</v>
      </c>
      <c r="H12" s="588">
        <v>0.11</v>
      </c>
      <c r="I12" s="588">
        <v>0.11</v>
      </c>
      <c r="J12" s="588">
        <v>0.12</v>
      </c>
      <c r="K12" s="592">
        <f>Scenarios!G47</f>
        <v>0.12</v>
      </c>
      <c r="L12" s="592">
        <f>Scenarios!H47</f>
        <v>0.12</v>
      </c>
      <c r="M12" s="592">
        <f>Scenarios!I47</f>
        <v>0.12</v>
      </c>
      <c r="N12" s="592">
        <f>Scenarios!J47</f>
        <v>0.12</v>
      </c>
      <c r="O12" s="592">
        <f>Scenarios!K47</f>
        <v>0.12</v>
      </c>
      <c r="P12" t="s">
        <v>343</v>
      </c>
    </row>
    <row r="13" spans="1:16" ht="12.75" customHeight="1" x14ac:dyDescent="0.25">
      <c r="C13" s="197" t="str">
        <f>Scenarios!C62</f>
        <v>Company operated</v>
      </c>
      <c r="H13" s="533"/>
      <c r="I13" s="533"/>
      <c r="J13" s="533"/>
      <c r="K13" s="592"/>
      <c r="L13" s="592"/>
      <c r="M13" s="592"/>
      <c r="N13" s="592"/>
      <c r="O13" s="592"/>
    </row>
    <row r="14" spans="1:16" ht="12.75" customHeight="1" x14ac:dyDescent="0.25">
      <c r="C14" s="531" t="str">
        <f>Scenarios!C63</f>
        <v>US</v>
      </c>
      <c r="E14" s="185"/>
      <c r="F14" s="185" t="s">
        <v>330</v>
      </c>
      <c r="H14" s="588">
        <v>4.5</v>
      </c>
      <c r="I14" s="588">
        <v>4.7</v>
      </c>
      <c r="J14" s="588">
        <v>5.15</v>
      </c>
      <c r="K14" s="592">
        <f>Scenarios!G50</f>
        <v>5.15</v>
      </c>
      <c r="L14" s="592">
        <f>Scenarios!H50</f>
        <v>5.15</v>
      </c>
      <c r="M14" s="592">
        <f>Scenarios!I50</f>
        <v>5.15</v>
      </c>
      <c r="N14" s="592">
        <f>Scenarios!J50</f>
        <v>5.15</v>
      </c>
      <c r="O14" s="592">
        <f>Scenarios!K50</f>
        <v>5.15</v>
      </c>
      <c r="P14" t="s">
        <v>343</v>
      </c>
    </row>
    <row r="15" spans="1:16" ht="12.75" customHeight="1" x14ac:dyDescent="0.25">
      <c r="C15" s="531" t="str">
        <f>Scenarios!C64</f>
        <v>IOM</v>
      </c>
      <c r="E15" s="185"/>
      <c r="F15" s="185" t="s">
        <v>330</v>
      </c>
      <c r="H15" s="588">
        <v>3.7</v>
      </c>
      <c r="I15" s="588">
        <v>4.5999999999999996</v>
      </c>
      <c r="J15" s="588">
        <v>4.75</v>
      </c>
      <c r="K15" s="592">
        <f>Scenarios!G51</f>
        <v>4.75</v>
      </c>
      <c r="L15" s="592">
        <f>Scenarios!H51</f>
        <v>4.75</v>
      </c>
      <c r="M15" s="592">
        <f>Scenarios!I51</f>
        <v>4.75</v>
      </c>
      <c r="N15" s="592">
        <f>Scenarios!J51</f>
        <v>4.75</v>
      </c>
      <c r="O15" s="592">
        <f>Scenarios!K51</f>
        <v>4.75</v>
      </c>
      <c r="P15" t="s">
        <v>343</v>
      </c>
    </row>
    <row r="16" spans="1:16" ht="12.75" customHeight="1" x14ac:dyDescent="0.25">
      <c r="C16" s="531" t="str">
        <f>Scenarios!C65</f>
        <v>IDL</v>
      </c>
      <c r="E16" s="185"/>
      <c r="F16" s="185" t="s">
        <v>330</v>
      </c>
      <c r="H16" s="588">
        <v>1.4</v>
      </c>
      <c r="I16" s="588">
        <v>1.4</v>
      </c>
      <c r="J16" s="588">
        <v>1.5</v>
      </c>
      <c r="K16" s="592">
        <f>Scenarios!G52</f>
        <v>1.5</v>
      </c>
      <c r="L16" s="592">
        <f>Scenarios!H52</f>
        <v>1.5</v>
      </c>
      <c r="M16" s="592">
        <f>Scenarios!I52</f>
        <v>1.5</v>
      </c>
      <c r="N16" s="592">
        <f>Scenarios!J52</f>
        <v>1.5</v>
      </c>
      <c r="O16" s="592">
        <f>Scenarios!K52</f>
        <v>1.5</v>
      </c>
      <c r="P16" t="s">
        <v>343</v>
      </c>
    </row>
    <row r="17" spans="2:15" ht="12.75" customHeight="1" x14ac:dyDescent="0.25">
      <c r="C17" s="531"/>
      <c r="H17" s="533"/>
      <c r="I17" s="533"/>
      <c r="J17" s="533"/>
      <c r="K17" s="532"/>
      <c r="L17" s="532"/>
      <c r="M17" s="532"/>
      <c r="N17" s="532"/>
      <c r="O17" s="532"/>
    </row>
    <row r="18" spans="2:15" ht="12.75" customHeight="1" x14ac:dyDescent="0.25">
      <c r="C18" t="s">
        <v>324</v>
      </c>
      <c r="E18" s="185"/>
      <c r="F18" s="185" t="s">
        <v>277</v>
      </c>
      <c r="H18" s="372">
        <v>350.1</v>
      </c>
      <c r="I18" s="372">
        <v>328.4</v>
      </c>
      <c r="J18" s="372">
        <v>315.60000000000002</v>
      </c>
      <c r="K18" s="532">
        <f>Scenarios!G70</f>
        <v>329.80200000000002</v>
      </c>
      <c r="L18" s="532">
        <f>Scenarios!H70</f>
        <v>344.64308999999997</v>
      </c>
      <c r="M18" s="532">
        <f>Scenarios!I70</f>
        <v>360.15202904999995</v>
      </c>
      <c r="N18" s="532">
        <f>Scenarios!J70</f>
        <v>376.35887035724994</v>
      </c>
      <c r="O18" s="532">
        <f>Scenarios!K70</f>
        <v>393.29501952332618</v>
      </c>
    </row>
    <row r="19" spans="2:15" ht="12.75" customHeight="1" x14ac:dyDescent="0.25">
      <c r="F19" s="185"/>
      <c r="H19" s="192"/>
      <c r="I19" s="192"/>
      <c r="J19" s="192"/>
    </row>
    <row r="20" spans="2:15" ht="12.75" customHeight="1" x14ac:dyDescent="0.25">
      <c r="B20" s="193" t="s">
        <v>329</v>
      </c>
      <c r="F20" s="185"/>
      <c r="H20" s="192"/>
      <c r="I20" s="192"/>
      <c r="J20" s="192"/>
    </row>
    <row r="21" spans="2:15" ht="12.75" customHeight="1" x14ac:dyDescent="0.25">
      <c r="B21" s="193"/>
      <c r="C21" t="str">
        <f>C9</f>
        <v>Franchised</v>
      </c>
      <c r="F21" s="185"/>
      <c r="H21" s="533"/>
      <c r="I21" s="533"/>
      <c r="J21" s="533"/>
    </row>
    <row r="22" spans="2:15" ht="12.75" customHeight="1" x14ac:dyDescent="0.25">
      <c r="C22" s="531" t="str">
        <f>Scenarios!C58</f>
        <v>US</v>
      </c>
      <c r="F22" s="185"/>
      <c r="H22" s="533">
        <v>12775</v>
      </c>
      <c r="I22" s="533">
        <v>12751</v>
      </c>
      <c r="J22" s="533">
        <v>12772</v>
      </c>
      <c r="K22" s="532">
        <f>Scenarios!G58</f>
        <v>13346.74</v>
      </c>
      <c r="L22" s="532">
        <f>Scenarios!H58</f>
        <v>13947.343299999999</v>
      </c>
      <c r="M22" s="532">
        <f>Scenarios!I58</f>
        <v>14574.973748499997</v>
      </c>
      <c r="N22" s="532">
        <f>Scenarios!J58</f>
        <v>15230.847567182496</v>
      </c>
      <c r="O22" s="532">
        <f>Scenarios!K58</f>
        <v>15916.235707705708</v>
      </c>
    </row>
    <row r="23" spans="2:15" ht="12.75" customHeight="1" x14ac:dyDescent="0.25">
      <c r="C23" s="531" t="str">
        <f>Scenarios!C59</f>
        <v>IOM</v>
      </c>
      <c r="F23" s="185"/>
      <c r="H23" s="533">
        <v>9020</v>
      </c>
      <c r="I23" s="533">
        <v>9006</v>
      </c>
      <c r="J23" s="533">
        <v>9133</v>
      </c>
      <c r="K23" s="532">
        <f>Scenarios!G59</f>
        <v>9543.9849999999988</v>
      </c>
      <c r="L23" s="532">
        <f>Scenarios!H59</f>
        <v>9973.4643249999972</v>
      </c>
      <c r="M23" s="532">
        <f>Scenarios!I59</f>
        <v>10422.270219624996</v>
      </c>
      <c r="N23" s="532">
        <f>Scenarios!J59</f>
        <v>10891.27237950812</v>
      </c>
      <c r="O23" s="532">
        <f>Scenarios!K59</f>
        <v>11381.379636585985</v>
      </c>
    </row>
    <row r="24" spans="2:15" ht="12.75" customHeight="1" x14ac:dyDescent="0.25">
      <c r="C24" s="531" t="str">
        <f>Scenarios!C60</f>
        <v>IDL</v>
      </c>
      <c r="F24" s="185"/>
      <c r="H24" s="533">
        <v>15500</v>
      </c>
      <c r="I24" s="533">
        <v>16412</v>
      </c>
      <c r="J24" s="533">
        <v>17775</v>
      </c>
      <c r="K24" s="532">
        <f>Scenarios!G60</f>
        <v>18574.875</v>
      </c>
      <c r="L24" s="532">
        <f>Scenarios!H60</f>
        <v>19410.744374999998</v>
      </c>
      <c r="M24" s="532">
        <f>Scenarios!I60</f>
        <v>20284.227871874999</v>
      </c>
      <c r="N24" s="532">
        <f>Scenarios!J60</f>
        <v>21197.018126109371</v>
      </c>
      <c r="O24" s="532">
        <f>Scenarios!K60</f>
        <v>22150.88394178429</v>
      </c>
    </row>
    <row r="25" spans="2:15" ht="12.75" customHeight="1" x14ac:dyDescent="0.25">
      <c r="C25" t="str">
        <f>C13</f>
        <v>Company operated</v>
      </c>
      <c r="F25" s="185"/>
      <c r="H25" s="574">
        <f>SUM(H22:H24)</f>
        <v>37295</v>
      </c>
      <c r="I25" s="574">
        <f t="shared" ref="I25:O25" si="0">SUM(I22:I24)</f>
        <v>38169</v>
      </c>
      <c r="J25" s="574">
        <f t="shared" si="0"/>
        <v>39680</v>
      </c>
      <c r="K25" s="574">
        <f t="shared" si="0"/>
        <v>41465.599999999999</v>
      </c>
      <c r="L25" s="574">
        <f t="shared" si="0"/>
        <v>43331.551999999996</v>
      </c>
      <c r="M25" s="574">
        <f t="shared" si="0"/>
        <v>45281.471839999991</v>
      </c>
      <c r="N25" s="574">
        <f t="shared" si="0"/>
        <v>47319.138072799993</v>
      </c>
      <c r="O25" s="574">
        <f t="shared" si="0"/>
        <v>49448.499286075981</v>
      </c>
    </row>
    <row r="26" spans="2:15" ht="12.75" customHeight="1" x14ac:dyDescent="0.25">
      <c r="C26" s="531" t="str">
        <f>C22</f>
        <v>US</v>
      </c>
      <c r="F26" s="185"/>
      <c r="H26" s="533">
        <v>663</v>
      </c>
      <c r="I26" s="533">
        <v>693</v>
      </c>
      <c r="J26" s="533">
        <v>685</v>
      </c>
      <c r="K26" s="532">
        <f>Scenarios!G63</f>
        <v>715.82499999999993</v>
      </c>
      <c r="L26" s="532">
        <f>Scenarios!H63</f>
        <v>748.03712499999983</v>
      </c>
      <c r="M26" s="532">
        <f>Scenarios!I63</f>
        <v>781.69879562499978</v>
      </c>
      <c r="N26" s="532">
        <f>Scenarios!J63</f>
        <v>816.8752414281247</v>
      </c>
      <c r="O26" s="532">
        <f>Scenarios!K63</f>
        <v>853.63462729239029</v>
      </c>
    </row>
    <row r="27" spans="2:15" ht="12.75" customHeight="1" x14ac:dyDescent="0.25">
      <c r="C27" s="531" t="str">
        <f>C23</f>
        <v>IOM</v>
      </c>
      <c r="F27" s="185"/>
      <c r="H27" s="533">
        <v>1765</v>
      </c>
      <c r="I27" s="533">
        <v>1097</v>
      </c>
      <c r="J27" s="533">
        <v>1130</v>
      </c>
      <c r="K27" s="532">
        <f>Scenarios!G64</f>
        <v>1180.8499999999999</v>
      </c>
      <c r="L27" s="532">
        <f>Scenarios!H64</f>
        <v>1233.9882499999999</v>
      </c>
      <c r="M27" s="532">
        <f>Scenarios!I64</f>
        <v>1289.5177212499998</v>
      </c>
      <c r="N27" s="532">
        <f>Scenarios!J64</f>
        <v>1347.5460187062497</v>
      </c>
      <c r="O27" s="532">
        <f>Scenarios!K64</f>
        <v>1408.1855895480307</v>
      </c>
    </row>
    <row r="28" spans="2:15" ht="12.75" customHeight="1" x14ac:dyDescent="0.25">
      <c r="C28" s="531" t="str">
        <f>C24</f>
        <v>IDL</v>
      </c>
      <c r="F28" s="185"/>
      <c r="H28" s="533">
        <v>308</v>
      </c>
      <c r="I28" s="533">
        <v>316</v>
      </c>
      <c r="J28" s="533">
        <v>327</v>
      </c>
      <c r="K28" s="532">
        <f>Scenarios!G65</f>
        <v>341.71499999999997</v>
      </c>
      <c r="L28" s="532">
        <f>Scenarios!H65</f>
        <v>357.09217499999994</v>
      </c>
      <c r="M28" s="532">
        <f>Scenarios!I65</f>
        <v>373.16132287499994</v>
      </c>
      <c r="N28" s="532">
        <f>Scenarios!J65</f>
        <v>389.95358240437491</v>
      </c>
      <c r="O28" s="532">
        <f>Scenarios!K65</f>
        <v>407.50149361257178</v>
      </c>
    </row>
    <row r="29" spans="2:15" ht="12.75" customHeight="1" x14ac:dyDescent="0.25">
      <c r="C29" s="531"/>
      <c r="F29" s="185"/>
      <c r="H29" s="574">
        <f>SUM(H26:H28)</f>
        <v>2736</v>
      </c>
      <c r="I29" s="574">
        <f t="shared" ref="I29:O29" si="1">SUM(I26:I28)</f>
        <v>2106</v>
      </c>
      <c r="J29" s="574">
        <f t="shared" si="1"/>
        <v>2142</v>
      </c>
      <c r="K29" s="574">
        <f t="shared" si="1"/>
        <v>2238.39</v>
      </c>
      <c r="L29" s="574">
        <f t="shared" si="1"/>
        <v>2339.1175499999995</v>
      </c>
      <c r="M29" s="574">
        <f t="shared" si="1"/>
        <v>2444.3778397499996</v>
      </c>
      <c r="N29" s="574">
        <f t="shared" si="1"/>
        <v>2554.3748425387494</v>
      </c>
      <c r="O29" s="574">
        <f t="shared" si="1"/>
        <v>2669.3217104529926</v>
      </c>
    </row>
    <row r="30" spans="2:15" ht="12.75" customHeight="1" thickBot="1" x14ac:dyDescent="0.3">
      <c r="C30" s="531"/>
      <c r="F30" s="185"/>
      <c r="H30" s="593">
        <f>H25+H29</f>
        <v>40031</v>
      </c>
      <c r="I30" s="593">
        <f t="shared" ref="I30:O30" si="2">I25+I29</f>
        <v>40275</v>
      </c>
      <c r="J30" s="593">
        <f t="shared" si="2"/>
        <v>41822</v>
      </c>
      <c r="K30" s="593">
        <f t="shared" si="2"/>
        <v>43703.99</v>
      </c>
      <c r="L30" s="593">
        <f t="shared" si="2"/>
        <v>45670.669549999999</v>
      </c>
      <c r="M30" s="593">
        <f t="shared" si="2"/>
        <v>47725.84967974999</v>
      </c>
      <c r="N30" s="593">
        <f t="shared" si="2"/>
        <v>49873.512915338739</v>
      </c>
      <c r="O30" s="593">
        <f t="shared" si="2"/>
        <v>52117.820996528972</v>
      </c>
    </row>
    <row r="31" spans="2:15" ht="12.75" customHeight="1" thickTop="1" x14ac:dyDescent="0.25">
      <c r="C31" t="str">
        <f>C18</f>
        <v>Other Revenue</v>
      </c>
      <c r="F31" s="185"/>
      <c r="H31" s="416"/>
      <c r="I31" s="416"/>
      <c r="J31" s="416"/>
      <c r="K31" s="416"/>
      <c r="L31" s="416"/>
      <c r="M31" s="416"/>
      <c r="N31" s="416"/>
      <c r="O31" s="416"/>
    </row>
    <row r="32" spans="2:15" ht="12.75" customHeight="1" thickTop="1" x14ac:dyDescent="0.25">
      <c r="B32" s="200"/>
      <c r="C32" s="201"/>
      <c r="D32" s="200"/>
      <c r="E32" s="200"/>
      <c r="F32" s="202"/>
      <c r="G32" s="200"/>
      <c r="H32" s="203"/>
      <c r="I32" s="203"/>
      <c r="J32" s="203"/>
      <c r="K32" s="204"/>
      <c r="L32" s="204"/>
      <c r="M32" s="204"/>
      <c r="N32" s="204"/>
      <c r="O32" s="204"/>
    </row>
    <row r="33" spans="2:15" ht="12.75" customHeight="1" x14ac:dyDescent="0.25">
      <c r="B33" t="s">
        <v>246</v>
      </c>
      <c r="C33" s="193"/>
      <c r="F33" s="199"/>
      <c r="H33" s="205"/>
      <c r="I33" s="205"/>
      <c r="J33" s="205"/>
      <c r="K33" s="461">
        <f>Scenarios!G23</f>
        <v>0</v>
      </c>
      <c r="L33" s="461">
        <f>Scenarios!H23</f>
        <v>0</v>
      </c>
      <c r="M33" s="461">
        <f>Scenarios!I23</f>
        <v>0</v>
      </c>
      <c r="N33" s="461">
        <f>Scenarios!J23</f>
        <v>0</v>
      </c>
      <c r="O33" s="461">
        <f>Scenarios!K23</f>
        <v>0</v>
      </c>
    </row>
    <row r="34" spans="2:15" ht="12.75" customHeight="1" x14ac:dyDescent="0.25">
      <c r="B34" s="200" t="s">
        <v>247</v>
      </c>
      <c r="C34" s="201"/>
      <c r="D34" s="200"/>
      <c r="E34" s="200"/>
      <c r="F34" s="202"/>
      <c r="G34" s="200"/>
      <c r="H34" s="203"/>
      <c r="I34" s="203"/>
      <c r="J34" s="203"/>
      <c r="K34" s="460">
        <f>Scenarios!G30</f>
        <v>0</v>
      </c>
      <c r="L34" s="460">
        <f>Scenarios!H30</f>
        <v>0</v>
      </c>
      <c r="M34" s="460">
        <f>Scenarios!I30</f>
        <v>0</v>
      </c>
      <c r="N34" s="460">
        <f>Scenarios!J30</f>
        <v>0</v>
      </c>
      <c r="O34" s="460">
        <f>Scenarios!K30</f>
        <v>0</v>
      </c>
    </row>
    <row r="35" spans="2:15" ht="12.75" customHeight="1" x14ac:dyDescent="0.25">
      <c r="C35" s="193"/>
      <c r="F35" s="199"/>
      <c r="H35" s="205"/>
      <c r="I35" s="205"/>
      <c r="J35" s="205"/>
      <c r="K35" s="206"/>
      <c r="L35" s="206"/>
      <c r="M35" s="206"/>
      <c r="N35" s="206"/>
      <c r="O35" s="206"/>
    </row>
    <row r="36" spans="2:15" x14ac:dyDescent="0.25">
      <c r="B36" s="193" t="str">
        <f>"Sales Volume @ "&amp; J7&amp;" price"</f>
        <v>Sales Volume @ 2023 price</v>
      </c>
      <c r="F36" s="194"/>
      <c r="H36" s="192"/>
      <c r="I36" s="192"/>
      <c r="J36" s="545"/>
      <c r="K36" s="195"/>
    </row>
    <row r="37" spans="2:15" x14ac:dyDescent="0.25">
      <c r="B37" s="193"/>
      <c r="C37" t="str">
        <f t="shared" ref="C37:C44" si="3">C21</f>
        <v>Franchised</v>
      </c>
      <c r="F37" s="194"/>
      <c r="H37" s="192"/>
      <c r="I37" s="192"/>
      <c r="J37" s="545"/>
      <c r="K37" s="195"/>
    </row>
    <row r="38" spans="2:15" x14ac:dyDescent="0.25">
      <c r="B38" s="193"/>
      <c r="C38" s="531" t="str">
        <f t="shared" si="3"/>
        <v>US</v>
      </c>
      <c r="F38" s="185" t="s">
        <v>277</v>
      </c>
      <c r="H38" s="546"/>
      <c r="I38" s="546"/>
      <c r="J38" s="547">
        <f t="shared" ref="J38:O40" si="4">$J10*J22*(1+J$34)</f>
        <v>7024.6</v>
      </c>
      <c r="K38" s="547">
        <f t="shared" si="4"/>
        <v>7340.7070000000003</v>
      </c>
      <c r="L38" s="547">
        <f t="shared" si="4"/>
        <v>7671.0388149999999</v>
      </c>
      <c r="M38" s="547">
        <f t="shared" si="4"/>
        <v>8016.2355616749992</v>
      </c>
      <c r="N38" s="547">
        <f t="shared" si="4"/>
        <v>8376.9661619503731</v>
      </c>
      <c r="O38" s="547">
        <f t="shared" si="4"/>
        <v>8753.9296392381402</v>
      </c>
    </row>
    <row r="39" spans="2:15" x14ac:dyDescent="0.25">
      <c r="B39" s="193"/>
      <c r="C39" s="531" t="str">
        <f t="shared" si="3"/>
        <v>IOM</v>
      </c>
      <c r="F39" s="185" t="s">
        <v>277</v>
      </c>
      <c r="H39" s="546"/>
      <c r="I39" s="546"/>
      <c r="J39" s="547">
        <f t="shared" si="4"/>
        <v>6575.7599999999993</v>
      </c>
      <c r="K39" s="547">
        <f t="shared" si="4"/>
        <v>6871.6691999999985</v>
      </c>
      <c r="L39" s="547">
        <f t="shared" si="4"/>
        <v>7180.8943139999974</v>
      </c>
      <c r="M39" s="547">
        <f t="shared" si="4"/>
        <v>7504.0345581299962</v>
      </c>
      <c r="N39" s="547">
        <f t="shared" si="4"/>
        <v>7841.7161132458459</v>
      </c>
      <c r="O39" s="547">
        <f t="shared" si="4"/>
        <v>8194.5933383419087</v>
      </c>
    </row>
    <row r="40" spans="2:15" x14ac:dyDescent="0.25">
      <c r="B40" s="193"/>
      <c r="C40" s="531" t="str">
        <f t="shared" si="3"/>
        <v>IDL</v>
      </c>
      <c r="F40" s="185" t="s">
        <v>277</v>
      </c>
      <c r="H40" s="546"/>
      <c r="I40" s="546"/>
      <c r="J40" s="547">
        <f t="shared" si="4"/>
        <v>2133</v>
      </c>
      <c r="K40" s="547">
        <f t="shared" si="4"/>
        <v>2228.9850000000001</v>
      </c>
      <c r="L40" s="547">
        <f t="shared" si="4"/>
        <v>2329.2893249999997</v>
      </c>
      <c r="M40" s="547">
        <f t="shared" si="4"/>
        <v>2434.1073446249998</v>
      </c>
      <c r="N40" s="547">
        <f t="shared" si="4"/>
        <v>2543.6421751331245</v>
      </c>
      <c r="O40" s="547">
        <f t="shared" si="4"/>
        <v>2658.1060730141148</v>
      </c>
    </row>
    <row r="41" spans="2:15" x14ac:dyDescent="0.25">
      <c r="B41" s="193"/>
      <c r="C41" s="531" t="str">
        <f t="shared" si="3"/>
        <v>Company operated</v>
      </c>
      <c r="F41" s="194"/>
      <c r="H41" s="546"/>
      <c r="I41" s="546"/>
      <c r="J41" s="547"/>
      <c r="K41" s="547"/>
      <c r="L41" s="547"/>
      <c r="M41" s="547"/>
      <c r="N41" s="547"/>
      <c r="O41" s="547"/>
    </row>
    <row r="42" spans="2:15" x14ac:dyDescent="0.25">
      <c r="B42" s="193"/>
      <c r="C42" s="531" t="str">
        <f t="shared" si="3"/>
        <v>US</v>
      </c>
      <c r="F42" s="185" t="s">
        <v>277</v>
      </c>
      <c r="H42" s="546"/>
      <c r="I42" s="546"/>
      <c r="J42" s="547">
        <f t="shared" ref="J42:O44" si="5">$J14*J26*(1+J$34)</f>
        <v>3527.7500000000005</v>
      </c>
      <c r="K42" s="547">
        <f t="shared" si="5"/>
        <v>3686.4987499999997</v>
      </c>
      <c r="L42" s="547">
        <f t="shared" si="5"/>
        <v>3852.3911937499993</v>
      </c>
      <c r="M42" s="547">
        <f t="shared" si="5"/>
        <v>4025.7487974687492</v>
      </c>
      <c r="N42" s="547">
        <f t="shared" si="5"/>
        <v>4206.9074933548427</v>
      </c>
      <c r="O42" s="547">
        <f t="shared" si="5"/>
        <v>4396.2183305558101</v>
      </c>
    </row>
    <row r="43" spans="2:15" x14ac:dyDescent="0.25">
      <c r="B43" s="193"/>
      <c r="C43" s="531" t="str">
        <f t="shared" si="3"/>
        <v>IOM</v>
      </c>
      <c r="F43" s="185" t="s">
        <v>277</v>
      </c>
      <c r="H43" s="546"/>
      <c r="I43" s="546"/>
      <c r="J43" s="547">
        <f t="shared" si="5"/>
        <v>5367.5</v>
      </c>
      <c r="K43" s="547">
        <f t="shared" si="5"/>
        <v>5609.0374999999995</v>
      </c>
      <c r="L43" s="547">
        <f t="shared" si="5"/>
        <v>5861.4441874999993</v>
      </c>
      <c r="M43" s="547">
        <f t="shared" si="5"/>
        <v>6125.2091759374989</v>
      </c>
      <c r="N43" s="547">
        <f t="shared" si="5"/>
        <v>6400.8435888546865</v>
      </c>
      <c r="O43" s="547">
        <f t="shared" si="5"/>
        <v>6688.8815503531459</v>
      </c>
    </row>
    <row r="44" spans="2:15" x14ac:dyDescent="0.25">
      <c r="B44" s="193"/>
      <c r="C44" s="531" t="str">
        <f t="shared" si="3"/>
        <v>IDL</v>
      </c>
      <c r="F44" s="185" t="s">
        <v>277</v>
      </c>
      <c r="H44" s="546"/>
      <c r="I44" s="546"/>
      <c r="J44" s="547">
        <f t="shared" si="5"/>
        <v>490.5</v>
      </c>
      <c r="K44" s="547">
        <f t="shared" si="5"/>
        <v>512.57249999999999</v>
      </c>
      <c r="L44" s="547">
        <f t="shared" si="5"/>
        <v>535.63826249999988</v>
      </c>
      <c r="M44" s="547">
        <f t="shared" si="5"/>
        <v>559.74198431249988</v>
      </c>
      <c r="N44" s="547">
        <f t="shared" si="5"/>
        <v>584.9303736065624</v>
      </c>
      <c r="O44" s="547">
        <f t="shared" si="5"/>
        <v>611.2522404188577</v>
      </c>
    </row>
    <row r="45" spans="2:15" x14ac:dyDescent="0.25">
      <c r="B45" s="193"/>
      <c r="C45" t="str">
        <f>C31</f>
        <v>Other Revenue</v>
      </c>
      <c r="F45" s="194"/>
      <c r="H45" s="546"/>
      <c r="I45" s="546"/>
      <c r="J45" s="547">
        <f t="shared" ref="J45:O45" si="6">J18*(1+J$34)</f>
        <v>315.60000000000002</v>
      </c>
      <c r="K45" s="547">
        <f t="shared" si="6"/>
        <v>329.80200000000002</v>
      </c>
      <c r="L45" s="547">
        <f t="shared" si="6"/>
        <v>344.64308999999997</v>
      </c>
      <c r="M45" s="547">
        <f t="shared" si="6"/>
        <v>360.15202904999995</v>
      </c>
      <c r="N45" s="547">
        <f t="shared" si="6"/>
        <v>376.35887035724994</v>
      </c>
      <c r="O45" s="547">
        <f t="shared" si="6"/>
        <v>393.29501952332618</v>
      </c>
    </row>
    <row r="46" spans="2:15" x14ac:dyDescent="0.25">
      <c r="B46" s="193"/>
      <c r="F46" s="194"/>
      <c r="H46" s="546"/>
      <c r="I46" s="546"/>
      <c r="J46" s="548">
        <f t="shared" ref="J46:O46" si="7">SUM(J38:J45)</f>
        <v>25434.71</v>
      </c>
      <c r="K46" s="548">
        <f t="shared" si="7"/>
        <v>26579.271949999995</v>
      </c>
      <c r="L46" s="548">
        <f t="shared" si="7"/>
        <v>27775.339187749996</v>
      </c>
      <c r="M46" s="548">
        <f t="shared" si="7"/>
        <v>29025.229451198746</v>
      </c>
      <c r="N46" s="548">
        <f t="shared" si="7"/>
        <v>30331.364776502687</v>
      </c>
      <c r="O46" s="548">
        <f t="shared" si="7"/>
        <v>31696.2761914453</v>
      </c>
    </row>
    <row r="47" spans="2:15" x14ac:dyDescent="0.25">
      <c r="B47" s="193"/>
      <c r="F47" s="194"/>
      <c r="H47" s="192"/>
      <c r="I47" s="192"/>
      <c r="J47" s="192"/>
      <c r="K47" s="547"/>
      <c r="L47" s="547"/>
      <c r="M47" s="547"/>
      <c r="N47" s="547"/>
      <c r="O47" s="547"/>
    </row>
    <row r="48" spans="2:15" x14ac:dyDescent="0.25">
      <c r="B48" s="193" t="s">
        <v>186</v>
      </c>
      <c r="F48" s="194"/>
      <c r="H48" s="192"/>
      <c r="I48" s="192"/>
      <c r="J48" s="192"/>
      <c r="K48" s="547"/>
      <c r="L48" s="547"/>
      <c r="M48" s="547"/>
      <c r="N48" s="547"/>
      <c r="O48" s="547"/>
    </row>
    <row r="49" spans="1:15" x14ac:dyDescent="0.25">
      <c r="B49" s="193"/>
      <c r="C49" t="str">
        <f>C37</f>
        <v>Franchised</v>
      </c>
      <c r="F49" s="194"/>
      <c r="H49" s="192"/>
      <c r="I49" s="192"/>
      <c r="J49" s="192"/>
      <c r="K49" s="547"/>
      <c r="L49" s="547"/>
      <c r="M49" s="547"/>
      <c r="N49" s="547"/>
      <c r="O49" s="547"/>
    </row>
    <row r="50" spans="1:15" x14ac:dyDescent="0.25">
      <c r="B50" s="193"/>
      <c r="C50" s="531" t="str">
        <f>C38</f>
        <v>US</v>
      </c>
      <c r="F50" s="185" t="s">
        <v>277</v>
      </c>
      <c r="H50" s="192"/>
      <c r="I50" s="192"/>
      <c r="J50" s="549">
        <f t="shared" ref="J50:O52" si="8">J22*J10*(1+J$33)*(1+J$34)</f>
        <v>7024.6</v>
      </c>
      <c r="K50" s="549">
        <f t="shared" si="8"/>
        <v>7340.7070000000003</v>
      </c>
      <c r="L50" s="549">
        <f t="shared" si="8"/>
        <v>7671.0388149999999</v>
      </c>
      <c r="M50" s="549">
        <f t="shared" si="8"/>
        <v>8016.2355616749992</v>
      </c>
      <c r="N50" s="549">
        <f t="shared" si="8"/>
        <v>8376.9661619503731</v>
      </c>
      <c r="O50" s="549">
        <f t="shared" si="8"/>
        <v>8753.9296392381402</v>
      </c>
    </row>
    <row r="51" spans="1:15" x14ac:dyDescent="0.25">
      <c r="B51" s="193"/>
      <c r="C51" s="531" t="str">
        <f t="shared" ref="C51:C56" si="9">C39</f>
        <v>IOM</v>
      </c>
      <c r="F51" s="185" t="s">
        <v>277</v>
      </c>
      <c r="H51" s="192"/>
      <c r="I51" s="192"/>
      <c r="J51" s="549">
        <f t="shared" si="8"/>
        <v>6575.7599999999993</v>
      </c>
      <c r="K51" s="549">
        <f t="shared" si="8"/>
        <v>6871.6691999999985</v>
      </c>
      <c r="L51" s="549">
        <f t="shared" si="8"/>
        <v>7180.8943139999974</v>
      </c>
      <c r="M51" s="549">
        <f t="shared" si="8"/>
        <v>7504.0345581299962</v>
      </c>
      <c r="N51" s="549">
        <f t="shared" si="8"/>
        <v>7841.7161132458459</v>
      </c>
      <c r="O51" s="549">
        <f t="shared" si="8"/>
        <v>8194.5933383419087</v>
      </c>
    </row>
    <row r="52" spans="1:15" x14ac:dyDescent="0.25">
      <c r="B52" s="193"/>
      <c r="C52" s="531" t="str">
        <f t="shared" si="9"/>
        <v>IDL</v>
      </c>
      <c r="F52" s="185" t="s">
        <v>277</v>
      </c>
      <c r="H52" s="192"/>
      <c r="I52" s="192"/>
      <c r="J52" s="549">
        <f t="shared" si="8"/>
        <v>2133</v>
      </c>
      <c r="K52" s="549">
        <f t="shared" si="8"/>
        <v>2228.9850000000001</v>
      </c>
      <c r="L52" s="549">
        <f t="shared" si="8"/>
        <v>2329.2893249999997</v>
      </c>
      <c r="M52" s="549">
        <f t="shared" si="8"/>
        <v>2434.1073446249998</v>
      </c>
      <c r="N52" s="549">
        <f t="shared" si="8"/>
        <v>2543.6421751331245</v>
      </c>
      <c r="O52" s="549">
        <f t="shared" si="8"/>
        <v>2658.1060730141148</v>
      </c>
    </row>
    <row r="53" spans="1:15" x14ac:dyDescent="0.25">
      <c r="B53" s="193"/>
      <c r="C53" s="197" t="str">
        <f t="shared" si="9"/>
        <v>Company operated</v>
      </c>
      <c r="F53" s="194"/>
      <c r="H53" s="192"/>
      <c r="I53" s="192"/>
      <c r="J53" s="549"/>
      <c r="K53" s="549"/>
      <c r="L53" s="549"/>
      <c r="M53" s="549"/>
      <c r="N53" s="549"/>
      <c r="O53" s="549"/>
    </row>
    <row r="54" spans="1:15" x14ac:dyDescent="0.25">
      <c r="B54" s="193"/>
      <c r="C54" s="531" t="str">
        <f t="shared" si="9"/>
        <v>US</v>
      </c>
      <c r="F54" s="185" t="s">
        <v>277</v>
      </c>
      <c r="H54" s="192"/>
      <c r="I54" s="192"/>
      <c r="J54" s="549">
        <f t="shared" ref="J54:O56" si="10">J26*J14*(1+J$33)*(1+J$34)</f>
        <v>3527.7500000000005</v>
      </c>
      <c r="K54" s="549">
        <f t="shared" si="10"/>
        <v>3686.4987499999997</v>
      </c>
      <c r="L54" s="549">
        <f t="shared" si="10"/>
        <v>3852.3911937499993</v>
      </c>
      <c r="M54" s="549">
        <f t="shared" si="10"/>
        <v>4025.7487974687492</v>
      </c>
      <c r="N54" s="549">
        <f t="shared" si="10"/>
        <v>4206.9074933548427</v>
      </c>
      <c r="O54" s="549">
        <f t="shared" si="10"/>
        <v>4396.2183305558101</v>
      </c>
    </row>
    <row r="55" spans="1:15" x14ac:dyDescent="0.25">
      <c r="B55" s="193"/>
      <c r="C55" s="531" t="str">
        <f t="shared" si="9"/>
        <v>IOM</v>
      </c>
      <c r="F55" s="185" t="s">
        <v>277</v>
      </c>
      <c r="H55" s="192"/>
      <c r="I55" s="192"/>
      <c r="J55" s="549">
        <f t="shared" si="10"/>
        <v>5367.5</v>
      </c>
      <c r="K55" s="549">
        <f t="shared" si="10"/>
        <v>5609.0374999999995</v>
      </c>
      <c r="L55" s="549">
        <f t="shared" si="10"/>
        <v>5861.4441874999993</v>
      </c>
      <c r="M55" s="549">
        <f t="shared" si="10"/>
        <v>6125.2091759374989</v>
      </c>
      <c r="N55" s="549">
        <f t="shared" si="10"/>
        <v>6400.8435888546865</v>
      </c>
      <c r="O55" s="549">
        <f t="shared" si="10"/>
        <v>6688.8815503531459</v>
      </c>
    </row>
    <row r="56" spans="1:15" x14ac:dyDescent="0.25">
      <c r="B56" s="193"/>
      <c r="C56" s="531" t="str">
        <f t="shared" si="9"/>
        <v>IDL</v>
      </c>
      <c r="F56" s="185" t="s">
        <v>277</v>
      </c>
      <c r="H56" s="192"/>
      <c r="I56" s="192"/>
      <c r="J56" s="549">
        <f t="shared" si="10"/>
        <v>490.5</v>
      </c>
      <c r="K56" s="549">
        <f t="shared" si="10"/>
        <v>512.57249999999999</v>
      </c>
      <c r="L56" s="549">
        <f t="shared" si="10"/>
        <v>535.63826249999988</v>
      </c>
      <c r="M56" s="549">
        <f t="shared" si="10"/>
        <v>559.74198431249988</v>
      </c>
      <c r="N56" s="549">
        <f t="shared" si="10"/>
        <v>584.9303736065624</v>
      </c>
      <c r="O56" s="549">
        <f t="shared" si="10"/>
        <v>611.2522404188577</v>
      </c>
    </row>
    <row r="57" spans="1:15" x14ac:dyDescent="0.25">
      <c r="B57" s="193"/>
      <c r="C57" t="str">
        <f>C45</f>
        <v>Other Revenue</v>
      </c>
      <c r="F57" s="185" t="s">
        <v>277</v>
      </c>
      <c r="H57" s="192"/>
      <c r="I57" s="192"/>
      <c r="J57" s="547">
        <f>J18*(1+J$33)*(1+J$34)</f>
        <v>315.60000000000002</v>
      </c>
      <c r="K57" s="547">
        <f t="shared" ref="K57:O57" si="11">K18*(1+K$33)*(1+K$34)</f>
        <v>329.80200000000002</v>
      </c>
      <c r="L57" s="547">
        <f t="shared" si="11"/>
        <v>344.64308999999997</v>
      </c>
      <c r="M57" s="547">
        <f t="shared" si="11"/>
        <v>360.15202904999995</v>
      </c>
      <c r="N57" s="547">
        <f t="shared" si="11"/>
        <v>376.35887035724994</v>
      </c>
      <c r="O57" s="547">
        <f t="shared" si="11"/>
        <v>393.29501952332618</v>
      </c>
    </row>
    <row r="58" spans="1:15" x14ac:dyDescent="0.25">
      <c r="B58" s="193"/>
      <c r="F58" s="194"/>
      <c r="H58" s="192"/>
      <c r="I58" s="192"/>
      <c r="J58" s="548">
        <f t="shared" ref="J58:O58" si="12">SUM(J50:J57)</f>
        <v>25434.71</v>
      </c>
      <c r="K58" s="548">
        <f t="shared" si="12"/>
        <v>26579.271949999995</v>
      </c>
      <c r="L58" s="548">
        <f t="shared" si="12"/>
        <v>27775.339187749996</v>
      </c>
      <c r="M58" s="548">
        <f t="shared" si="12"/>
        <v>29025.229451198746</v>
      </c>
      <c r="N58" s="548">
        <f t="shared" si="12"/>
        <v>30331.364776502687</v>
      </c>
      <c r="O58" s="548">
        <f t="shared" si="12"/>
        <v>31696.2761914453</v>
      </c>
    </row>
    <row r="59" spans="1:15" x14ac:dyDescent="0.25">
      <c r="B59" s="200"/>
      <c r="C59" s="201"/>
      <c r="D59" s="200"/>
      <c r="E59" s="200"/>
      <c r="F59" s="202"/>
      <c r="G59" s="200"/>
      <c r="H59" s="203"/>
      <c r="I59" s="203"/>
      <c r="J59" s="203"/>
      <c r="K59" s="204"/>
      <c r="L59" s="204"/>
      <c r="M59" s="204"/>
      <c r="N59" s="204"/>
      <c r="O59" s="204"/>
    </row>
    <row r="60" spans="1:15" x14ac:dyDescent="0.25">
      <c r="C60" s="193"/>
      <c r="F60" s="199"/>
      <c r="H60" s="205"/>
      <c r="I60" s="205"/>
      <c r="J60" s="205"/>
      <c r="K60" s="206"/>
      <c r="L60" s="206"/>
      <c r="M60" s="206"/>
      <c r="N60" s="206"/>
      <c r="O60" s="206"/>
    </row>
    <row r="61" spans="1:15" ht="12.75" customHeight="1" x14ac:dyDescent="0.25">
      <c r="F61" s="185"/>
    </row>
    <row r="62" spans="1:15" ht="12.75" customHeight="1" x14ac:dyDescent="0.35">
      <c r="A62" s="176"/>
      <c r="B62" s="177"/>
      <c r="C62" s="173"/>
      <c r="D62" s="173"/>
      <c r="E62" s="173"/>
      <c r="F62" s="174"/>
      <c r="G62" s="173"/>
      <c r="H62" s="173"/>
      <c r="I62" s="173"/>
      <c r="J62" s="173"/>
      <c r="K62" s="173"/>
      <c r="L62" s="173"/>
      <c r="M62" s="173"/>
      <c r="N62" s="173"/>
      <c r="O62" s="214" t="str">
        <f>$O$1</f>
        <v>CURRENTLY RUNNING: BASE CASE SCENARIO</v>
      </c>
    </row>
    <row r="63" spans="1:15" ht="23.25" x14ac:dyDescent="0.35">
      <c r="A63" s="176"/>
      <c r="B63" s="177" t="str">
        <f>B$2</f>
        <v>McDonald's Corporation</v>
      </c>
      <c r="C63" s="173"/>
      <c r="D63" s="173"/>
      <c r="E63" s="173"/>
      <c r="F63" s="174"/>
      <c r="G63" s="173"/>
      <c r="H63" s="173"/>
      <c r="I63" s="173"/>
      <c r="J63" s="173"/>
      <c r="K63" s="173"/>
      <c r="L63" s="173"/>
      <c r="M63" s="173"/>
      <c r="N63" s="173"/>
      <c r="O63" s="173"/>
    </row>
    <row r="64" spans="1:15" ht="18.75" x14ac:dyDescent="0.3">
      <c r="A64" s="178"/>
      <c r="B64" s="179" t="s">
        <v>67</v>
      </c>
      <c r="C64" s="180"/>
      <c r="D64" s="180"/>
      <c r="E64" s="180"/>
      <c r="F64" s="181"/>
      <c r="G64" s="180"/>
      <c r="H64" s="180"/>
      <c r="I64" s="180"/>
      <c r="J64" s="180"/>
      <c r="K64" s="180"/>
      <c r="L64" s="180"/>
      <c r="M64" s="180"/>
      <c r="N64" s="180"/>
      <c r="O64" s="180"/>
    </row>
    <row r="65" spans="1:15" ht="3" customHeight="1" thickBot="1" x14ac:dyDescent="0.35">
      <c r="A65" s="178"/>
      <c r="B65" s="182"/>
      <c r="C65" s="183"/>
      <c r="D65" s="183"/>
      <c r="E65" s="183"/>
      <c r="F65" s="184"/>
      <c r="G65" s="183"/>
      <c r="H65" s="183"/>
      <c r="I65" s="183"/>
      <c r="J65" s="183"/>
      <c r="K65" s="183"/>
      <c r="L65" s="183"/>
      <c r="M65" s="183"/>
      <c r="N65" s="183"/>
      <c r="O65" s="183"/>
    </row>
    <row r="66" spans="1:15" ht="12.75" customHeight="1" x14ac:dyDescent="0.3">
      <c r="A66" s="179"/>
      <c r="B66" s="180"/>
      <c r="C66" s="180"/>
      <c r="D66" s="180"/>
      <c r="E66" s="180"/>
      <c r="F66" s="181"/>
      <c r="G66" s="180"/>
      <c r="H66" s="180"/>
      <c r="I66" s="180"/>
      <c r="J66" s="180"/>
      <c r="K66" s="180"/>
      <c r="L66" s="180"/>
      <c r="M66" s="180"/>
      <c r="N66" s="180"/>
      <c r="O66" s="180"/>
    </row>
    <row r="67" spans="1:15" x14ac:dyDescent="0.25">
      <c r="E67" s="189"/>
      <c r="F67" s="185"/>
      <c r="G67" s="186"/>
      <c r="K67" s="187" t="s">
        <v>2</v>
      </c>
      <c r="L67" s="188"/>
      <c r="M67" s="188"/>
      <c r="N67" s="188"/>
      <c r="O67" s="188"/>
    </row>
    <row r="68" spans="1:15" x14ac:dyDescent="0.25">
      <c r="F68" s="185"/>
      <c r="G68" s="189"/>
      <c r="H68" s="190">
        <f t="shared" ref="H68:J68" si="13">H$7</f>
        <v>2021</v>
      </c>
      <c r="I68" s="190">
        <f t="shared" si="13"/>
        <v>2022</v>
      </c>
      <c r="J68" s="190">
        <f t="shared" si="13"/>
        <v>2023</v>
      </c>
      <c r="K68" s="215">
        <f>K$7</f>
        <v>2024</v>
      </c>
      <c r="L68" s="215">
        <f>L$7</f>
        <v>2025</v>
      </c>
      <c r="M68" s="215">
        <f>M$7</f>
        <v>2026</v>
      </c>
      <c r="N68" s="215">
        <f>N$7</f>
        <v>2027</v>
      </c>
      <c r="O68" s="215">
        <f>O$7</f>
        <v>2028</v>
      </c>
    </row>
    <row r="69" spans="1:15" ht="12.95" customHeight="1" x14ac:dyDescent="0.25">
      <c r="F69" s="185"/>
      <c r="G69" s="189"/>
      <c r="H69" s="189"/>
      <c r="I69" s="189"/>
      <c r="J69" s="189"/>
      <c r="K69" s="189"/>
      <c r="L69" s="189"/>
      <c r="M69" s="189"/>
      <c r="N69" s="189"/>
      <c r="O69" s="189"/>
    </row>
    <row r="70" spans="1:15" ht="12.95" customHeight="1" x14ac:dyDescent="0.25">
      <c r="B70" s="216" t="s">
        <v>280</v>
      </c>
      <c r="C70" s="217"/>
      <c r="D70" s="217"/>
      <c r="E70" s="217"/>
      <c r="F70" s="218" t="s">
        <v>9</v>
      </c>
      <c r="G70" s="219"/>
      <c r="H70" s="220"/>
      <c r="I70" s="220"/>
      <c r="J70" s="220"/>
      <c r="K70" s="417">
        <f>Scenarios!G12</f>
        <v>0.03</v>
      </c>
      <c r="L70" s="417">
        <f>Scenarios!H12</f>
        <v>0.03</v>
      </c>
      <c r="M70" s="417">
        <f>Scenarios!I12</f>
        <v>0.03</v>
      </c>
      <c r="N70" s="417">
        <f>Scenarios!J12</f>
        <v>0.03</v>
      </c>
      <c r="O70" s="417">
        <f>Scenarios!K12</f>
        <v>0.03</v>
      </c>
    </row>
    <row r="71" spans="1:15" x14ac:dyDescent="0.25">
      <c r="B71" s="221" t="s">
        <v>279</v>
      </c>
      <c r="C71" s="200"/>
      <c r="D71" s="200"/>
      <c r="E71" s="200"/>
      <c r="F71" s="209" t="s">
        <v>9</v>
      </c>
      <c r="G71" s="222"/>
      <c r="H71" s="223"/>
      <c r="I71" s="223"/>
      <c r="J71" s="223"/>
      <c r="K71" s="224">
        <f>Scenarios!G12</f>
        <v>0.03</v>
      </c>
      <c r="L71" s="224">
        <f>Scenarios!H12</f>
        <v>0.03</v>
      </c>
      <c r="M71" s="224">
        <f>Scenarios!I12</f>
        <v>0.03</v>
      </c>
      <c r="N71" s="224">
        <f>Scenarios!J12</f>
        <v>0.03</v>
      </c>
      <c r="O71" s="224">
        <f>Scenarios!K12</f>
        <v>0.03</v>
      </c>
    </row>
    <row r="72" spans="1:15" ht="12.95" customHeight="1" x14ac:dyDescent="0.25">
      <c r="B72" s="225"/>
      <c r="F72" s="185"/>
      <c r="G72" s="189"/>
      <c r="H72" s="189"/>
      <c r="I72" s="189"/>
      <c r="J72" s="189"/>
      <c r="K72" s="189"/>
      <c r="L72" s="189"/>
      <c r="M72" s="189"/>
      <c r="N72" s="189"/>
      <c r="O72" s="189"/>
    </row>
    <row r="73" spans="1:15" ht="12.75" customHeight="1" x14ac:dyDescent="0.25">
      <c r="B73" s="550" t="s">
        <v>187</v>
      </c>
      <c r="F73" s="185"/>
      <c r="G73" s="189"/>
      <c r="H73" s="189"/>
      <c r="I73" s="189"/>
      <c r="J73" s="189"/>
      <c r="K73" s="189"/>
      <c r="M73" s="189"/>
      <c r="N73" s="189"/>
      <c r="O73" s="189"/>
    </row>
    <row r="74" spans="1:15" ht="12.75" customHeight="1" x14ac:dyDescent="0.25">
      <c r="B74" s="550"/>
      <c r="C74" s="191" t="s">
        <v>337</v>
      </c>
      <c r="F74" s="185"/>
      <c r="G74" s="189"/>
      <c r="H74" s="189"/>
      <c r="I74" s="189"/>
      <c r="J74" s="189"/>
      <c r="K74" s="189"/>
      <c r="M74" s="189"/>
      <c r="N74" s="189"/>
      <c r="O74" s="189"/>
    </row>
    <row r="75" spans="1:15" x14ac:dyDescent="0.25">
      <c r="A75" s="210"/>
      <c r="D75" t="s">
        <v>333</v>
      </c>
      <c r="F75" s="185"/>
      <c r="J75" s="432"/>
    </row>
    <row r="76" spans="1:15" x14ac:dyDescent="0.25">
      <c r="A76" s="210"/>
      <c r="C76" s="191"/>
      <c r="D76" s="531" t="s">
        <v>288</v>
      </c>
      <c r="F76" s="185" t="s">
        <v>330</v>
      </c>
      <c r="H76" s="595">
        <f t="shared" ref="H76:J78" si="14">H122/H$29</f>
        <v>1.1318713450292399</v>
      </c>
      <c r="I76" s="595">
        <f t="shared" si="14"/>
        <v>1.2997625830959165</v>
      </c>
      <c r="J76" s="595">
        <f t="shared" si="14"/>
        <v>1.4187675070028012</v>
      </c>
      <c r="K76" s="596">
        <f>Scenarios!G80</f>
        <v>1.4187675070028012</v>
      </c>
      <c r="L76" s="596">
        <f>Scenarios!H80</f>
        <v>1.4187675070028012</v>
      </c>
      <c r="M76" s="596">
        <f>Scenarios!I80</f>
        <v>1.4187675070028012</v>
      </c>
      <c r="N76" s="596">
        <f>Scenarios!J80</f>
        <v>1.4187675070028012</v>
      </c>
      <c r="O76" s="596">
        <f>Scenarios!K80</f>
        <v>1.4187675070028012</v>
      </c>
    </row>
    <row r="77" spans="1:15" x14ac:dyDescent="0.25">
      <c r="A77" s="210"/>
      <c r="C77" s="191"/>
      <c r="D77" s="531" t="s">
        <v>289</v>
      </c>
      <c r="F77" s="185" t="s">
        <v>330</v>
      </c>
      <c r="H77" s="595">
        <f t="shared" si="14"/>
        <v>0.97850877192982455</v>
      </c>
      <c r="I77" s="595">
        <f t="shared" si="14"/>
        <v>1.2428300094966762</v>
      </c>
      <c r="J77" s="595">
        <f t="shared" si="14"/>
        <v>1.3472455648926238</v>
      </c>
      <c r="K77" s="596">
        <f>Scenarios!G81</f>
        <v>1.3472455648926238</v>
      </c>
      <c r="L77" s="596">
        <f>Scenarios!H81</f>
        <v>1.3472455648926238</v>
      </c>
      <c r="M77" s="596">
        <f>Scenarios!I81</f>
        <v>1.3472455648926238</v>
      </c>
      <c r="N77" s="596">
        <f>Scenarios!J81</f>
        <v>1.3472455648926238</v>
      </c>
      <c r="O77" s="596">
        <f>Scenarios!K81</f>
        <v>1.3472455648926238</v>
      </c>
    </row>
    <row r="78" spans="1:15" x14ac:dyDescent="0.25">
      <c r="A78" s="210"/>
      <c r="C78" s="191"/>
      <c r="D78" s="531" t="s">
        <v>334</v>
      </c>
      <c r="F78" s="185" t="s">
        <v>330</v>
      </c>
      <c r="H78" s="595">
        <f t="shared" si="14"/>
        <v>0.83088450292397664</v>
      </c>
      <c r="I78" s="595">
        <f t="shared" si="14"/>
        <v>0.96210826210826217</v>
      </c>
      <c r="J78" s="595">
        <f t="shared" si="14"/>
        <v>1.0734360410831001</v>
      </c>
      <c r="K78" s="596">
        <f>Scenarios!G82</f>
        <v>1.0734360410831001</v>
      </c>
      <c r="L78" s="596">
        <f>Scenarios!H82</f>
        <v>1.0734360410831001</v>
      </c>
      <c r="M78" s="596">
        <f>Scenarios!I82</f>
        <v>1.0734360410831001</v>
      </c>
      <c r="N78" s="596">
        <f>Scenarios!J82</f>
        <v>1.0734360410831001</v>
      </c>
      <c r="O78" s="596">
        <f>Scenarios!K82</f>
        <v>1.0734360410831001</v>
      </c>
    </row>
    <row r="79" spans="1:15" x14ac:dyDescent="0.25">
      <c r="A79" s="210"/>
      <c r="C79" s="191"/>
      <c r="D79" s="531"/>
      <c r="F79" s="185"/>
      <c r="H79" s="595"/>
      <c r="I79" s="595"/>
      <c r="J79" s="595"/>
      <c r="K79" s="596"/>
      <c r="L79" s="596"/>
      <c r="M79" s="596"/>
      <c r="N79" s="596"/>
      <c r="O79" s="596"/>
    </row>
    <row r="80" spans="1:15" x14ac:dyDescent="0.25">
      <c r="A80" s="210"/>
      <c r="C80" s="191"/>
      <c r="D80" s="197" t="s">
        <v>336</v>
      </c>
      <c r="F80" s="185"/>
      <c r="H80" s="561"/>
      <c r="I80" s="561"/>
      <c r="J80" s="561"/>
      <c r="K80" s="559"/>
      <c r="L80" s="559"/>
      <c r="M80" s="559"/>
      <c r="N80" s="559"/>
      <c r="O80" s="559"/>
    </row>
    <row r="81" spans="1:20" x14ac:dyDescent="0.25">
      <c r="A81" s="210"/>
      <c r="C81" s="191"/>
      <c r="D81" s="597" t="s">
        <v>335</v>
      </c>
      <c r="F81" s="185" t="s">
        <v>330</v>
      </c>
      <c r="H81" s="598">
        <f>H125/H25</f>
        <v>6.2608928810832548E-2</v>
      </c>
      <c r="I81" s="598">
        <f>I125/I25</f>
        <v>6.1560428620084359E-2</v>
      </c>
      <c r="J81" s="598">
        <f>J125/J25</f>
        <v>6.236391129032258E-2</v>
      </c>
      <c r="K81" s="601">
        <f>Scenarios!G85</f>
        <v>6.236391129032258E-2</v>
      </c>
      <c r="L81" s="601">
        <f>Scenarios!H85</f>
        <v>6.236391129032258E-2</v>
      </c>
      <c r="M81" s="601">
        <f>Scenarios!I85</f>
        <v>6.236391129032258E-2</v>
      </c>
      <c r="N81" s="601">
        <f>Scenarios!J85</f>
        <v>6.236391129032258E-2</v>
      </c>
      <c r="O81" s="601">
        <f>Scenarios!K85</f>
        <v>6.236391129032258E-2</v>
      </c>
    </row>
    <row r="82" spans="1:20" x14ac:dyDescent="0.25">
      <c r="A82" s="210"/>
      <c r="C82" s="191"/>
      <c r="D82" t="s">
        <v>291</v>
      </c>
      <c r="F82" s="185" t="s">
        <v>330</v>
      </c>
      <c r="H82" s="598">
        <f>H126/H29</f>
        <v>9.5175438596491219E-2</v>
      </c>
      <c r="I82" s="598">
        <f>I126/I29</f>
        <v>0.11623931623931624</v>
      </c>
      <c r="J82" s="598">
        <f>J126/J29</f>
        <v>0.10854341736694678</v>
      </c>
      <c r="K82" s="601">
        <f>Scenarios!G87</f>
        <v>0.10854341736694678</v>
      </c>
      <c r="L82" s="601">
        <f>Scenarios!H87</f>
        <v>0.10854341736694678</v>
      </c>
      <c r="M82" s="601">
        <f>Scenarios!I87</f>
        <v>0.10854341736694678</v>
      </c>
      <c r="N82" s="601">
        <f>Scenarios!J87</f>
        <v>0.10854341736694678</v>
      </c>
      <c r="O82" s="601">
        <f>Scenarios!K87</f>
        <v>0.10854341736694678</v>
      </c>
    </row>
    <row r="83" spans="1:20" x14ac:dyDescent="0.25">
      <c r="A83" s="210"/>
      <c r="C83" s="191"/>
      <c r="F83" s="185"/>
    </row>
    <row r="84" spans="1:20" x14ac:dyDescent="0.25">
      <c r="A84" s="210"/>
      <c r="C84" s="191" t="s">
        <v>68</v>
      </c>
      <c r="F84" s="185"/>
    </row>
    <row r="85" spans="1:20" x14ac:dyDescent="0.25">
      <c r="A85" s="210"/>
      <c r="C85" s="191"/>
      <c r="D85" t="str">
        <f>D75</f>
        <v xml:space="preserve">Company operated </v>
      </c>
      <c r="F85" s="185"/>
      <c r="H85" s="391"/>
      <c r="I85" s="391"/>
      <c r="J85" s="391"/>
      <c r="K85" s="547"/>
      <c r="L85" s="547"/>
      <c r="M85" s="547"/>
      <c r="N85" s="547"/>
      <c r="O85" s="547"/>
      <c r="Q85" s="435"/>
      <c r="R85" s="435"/>
      <c r="S85" s="435"/>
      <c r="T85" s="435"/>
    </row>
    <row r="86" spans="1:20" x14ac:dyDescent="0.25">
      <c r="A86" s="210"/>
      <c r="C86" s="191"/>
      <c r="D86" s="531" t="str">
        <f>D76</f>
        <v>Food &amp; paper</v>
      </c>
      <c r="F86" s="185" t="s">
        <v>293</v>
      </c>
      <c r="H86" s="391"/>
      <c r="I86" s="391"/>
      <c r="J86" s="391"/>
      <c r="K86" s="547">
        <f>K76*K$29*(1+K$34)*(1+K$70)</f>
        <v>3271.02765</v>
      </c>
      <c r="L86" s="547">
        <f>L76*L$29*(1+L$34)*(1+L$70)</f>
        <v>3418.2238942499994</v>
      </c>
      <c r="M86" s="547">
        <f t="shared" ref="M86:O86" si="15">M76*M$29*(1+M$34)*(1+M$70)</f>
        <v>3572.0439694912498</v>
      </c>
      <c r="N86" s="547">
        <f t="shared" si="15"/>
        <v>3732.7859481183555</v>
      </c>
      <c r="O86" s="547">
        <f t="shared" si="15"/>
        <v>3900.7613157836809</v>
      </c>
    </row>
    <row r="87" spans="1:20" x14ac:dyDescent="0.25">
      <c r="A87" s="210"/>
      <c r="C87" s="191"/>
      <c r="D87" s="531" t="str">
        <f t="shared" ref="D87:D90" si="16">D77</f>
        <v>Payroll</v>
      </c>
      <c r="F87" s="185" t="s">
        <v>293</v>
      </c>
      <c r="H87" s="391"/>
      <c r="I87" s="391"/>
      <c r="J87" s="391"/>
      <c r="K87" s="547">
        <f t="shared" ref="K87:O87" si="17">K77*K$29*(1+K$34)*(1+K$70)</f>
        <v>3106.1308300000001</v>
      </c>
      <c r="L87" s="547">
        <f t="shared" si="17"/>
        <v>3245.9067173499998</v>
      </c>
      <c r="M87" s="547">
        <f t="shared" si="17"/>
        <v>3391.9725196307495</v>
      </c>
      <c r="N87" s="547">
        <f t="shared" si="17"/>
        <v>3544.6112830141328</v>
      </c>
      <c r="O87" s="547">
        <f t="shared" si="17"/>
        <v>3704.1187907497683</v>
      </c>
    </row>
    <row r="88" spans="1:20" x14ac:dyDescent="0.25">
      <c r="A88" s="210"/>
      <c r="C88" s="191"/>
      <c r="D88" s="531" t="str">
        <f t="shared" si="16"/>
        <v>Occupancy &amp; other opex</v>
      </c>
      <c r="F88" s="185" t="s">
        <v>293</v>
      </c>
      <c r="H88" s="391"/>
      <c r="I88" s="391"/>
      <c r="J88" s="391"/>
      <c r="K88" s="547">
        <f t="shared" ref="K88:O88" si="18">K78*K$29*(1+K$34)*(1+K$70)</f>
        <v>2474.8515550000002</v>
      </c>
      <c r="L88" s="547">
        <f t="shared" si="18"/>
        <v>2586.219874975</v>
      </c>
      <c r="M88" s="547">
        <f t="shared" si="18"/>
        <v>2702.5997693488748</v>
      </c>
      <c r="N88" s="547">
        <f t="shared" si="18"/>
        <v>2824.2167589695741</v>
      </c>
      <c r="O88" s="547">
        <f t="shared" si="18"/>
        <v>2951.3065131232047</v>
      </c>
    </row>
    <row r="89" spans="1:20" x14ac:dyDescent="0.25">
      <c r="A89" s="210"/>
      <c r="C89" s="191"/>
      <c r="D89" s="531"/>
      <c r="F89" s="185"/>
      <c r="H89" s="391"/>
      <c r="I89" s="391"/>
      <c r="J89" s="391"/>
      <c r="K89" s="547"/>
      <c r="L89" s="547"/>
      <c r="M89" s="547"/>
      <c r="N89" s="547"/>
      <c r="O89" s="547"/>
    </row>
    <row r="90" spans="1:20" x14ac:dyDescent="0.25">
      <c r="A90" s="210"/>
      <c r="C90" s="191"/>
      <c r="D90" s="197" t="str">
        <f t="shared" si="16"/>
        <v>Franchised restaurant operating expenses</v>
      </c>
      <c r="F90" s="185"/>
      <c r="H90" s="391"/>
      <c r="I90" s="391"/>
      <c r="J90" s="391"/>
      <c r="K90" s="547">
        <f>K81*K$25*(1+K$34)*(1+K$70)</f>
        <v>2663.5357100000001</v>
      </c>
      <c r="L90" s="547">
        <f t="shared" ref="L90:O90" si="19">L81*L$25*(1+L$34)*(1+L$70)</f>
        <v>2783.3948169499995</v>
      </c>
      <c r="M90" s="547">
        <f t="shared" si="19"/>
        <v>2908.6475837127496</v>
      </c>
      <c r="N90" s="547">
        <f t="shared" si="19"/>
        <v>3039.5367249798232</v>
      </c>
      <c r="O90" s="547">
        <f t="shared" si="19"/>
        <v>3176.3158776039145</v>
      </c>
    </row>
    <row r="91" spans="1:20" x14ac:dyDescent="0.25">
      <c r="A91" s="210"/>
      <c r="C91" s="191"/>
      <c r="D91" s="597"/>
      <c r="F91" s="185"/>
      <c r="H91" s="391"/>
      <c r="I91" s="391"/>
      <c r="J91" s="391"/>
      <c r="K91" s="547"/>
      <c r="L91" s="547"/>
      <c r="M91" s="547"/>
      <c r="N91" s="547"/>
      <c r="O91" s="547"/>
    </row>
    <row r="92" spans="1:20" x14ac:dyDescent="0.25">
      <c r="A92" s="210"/>
      <c r="C92" s="191"/>
      <c r="D92" t="str">
        <f>D82</f>
        <v>Other restaurant expenses</v>
      </c>
      <c r="F92" s="185" t="s">
        <v>293</v>
      </c>
      <c r="H92" s="391"/>
      <c r="I92" s="391"/>
      <c r="J92" s="391"/>
      <c r="K92" s="547">
        <f>K82*K$29*(1+K$34)*(1+K$70)</f>
        <v>250.25137500000002</v>
      </c>
      <c r="L92" s="547">
        <f t="shared" ref="L92:O92" si="20">L82*L$29*(1+L$34)*(1+L$70)</f>
        <v>261.51268687499993</v>
      </c>
      <c r="M92" s="547">
        <f t="shared" si="20"/>
        <v>273.28075778437494</v>
      </c>
      <c r="N92" s="547">
        <f t="shared" si="20"/>
        <v>285.57839188467182</v>
      </c>
      <c r="O92" s="547">
        <f t="shared" si="20"/>
        <v>298.429419519482</v>
      </c>
    </row>
    <row r="93" spans="1:20" x14ac:dyDescent="0.25">
      <c r="D93" s="191" t="s">
        <v>69</v>
      </c>
      <c r="F93" s="226"/>
      <c r="H93" s="552">
        <f t="shared" ref="H93:O93" si="21">SUM(H85:H92)</f>
        <v>0</v>
      </c>
      <c r="I93" s="552">
        <f t="shared" si="21"/>
        <v>0</v>
      </c>
      <c r="J93" s="552">
        <f t="shared" si="21"/>
        <v>0</v>
      </c>
      <c r="K93" s="552">
        <f t="shared" si="21"/>
        <v>11765.797119999999</v>
      </c>
      <c r="L93" s="552">
        <f t="shared" si="21"/>
        <v>12295.257990399999</v>
      </c>
      <c r="M93" s="552">
        <f t="shared" si="21"/>
        <v>12848.544599967998</v>
      </c>
      <c r="N93" s="552">
        <f t="shared" si="21"/>
        <v>13426.729106966559</v>
      </c>
      <c r="O93" s="552">
        <f t="shared" si="21"/>
        <v>14030.93191678005</v>
      </c>
    </row>
    <row r="94" spans="1:20" ht="12.95" customHeight="1" x14ac:dyDescent="0.25">
      <c r="B94" s="201"/>
      <c r="C94" s="553"/>
      <c r="D94" s="200"/>
      <c r="E94" s="200"/>
      <c r="F94" s="554"/>
      <c r="G94" s="555"/>
      <c r="H94" s="555"/>
      <c r="I94" s="555"/>
      <c r="J94" s="555"/>
      <c r="K94" s="555"/>
      <c r="L94" s="555"/>
      <c r="M94" s="555"/>
      <c r="N94" s="555"/>
      <c r="O94" s="555"/>
    </row>
    <row r="95" spans="1:20" ht="12.95" customHeight="1" x14ac:dyDescent="0.25">
      <c r="B95" s="193"/>
      <c r="C95" s="191"/>
      <c r="F95" s="226"/>
      <c r="H95" s="556"/>
      <c r="I95" s="556"/>
      <c r="J95" s="556"/>
      <c r="K95" s="556"/>
      <c r="L95" s="556"/>
      <c r="M95" s="556"/>
      <c r="N95" s="556"/>
      <c r="O95" s="556"/>
    </row>
    <row r="96" spans="1:20" ht="12.75" customHeight="1" x14ac:dyDescent="0.25">
      <c r="C96" s="198" t="s">
        <v>70</v>
      </c>
      <c r="D96" s="197"/>
      <c r="F96" s="226"/>
      <c r="H96" s="556"/>
      <c r="I96" s="556"/>
      <c r="J96" s="556"/>
      <c r="K96" s="556"/>
      <c r="L96" s="556"/>
      <c r="M96" s="556"/>
      <c r="N96" s="556"/>
      <c r="O96" s="556"/>
    </row>
    <row r="97" spans="1:15" ht="12.75" customHeight="1" x14ac:dyDescent="0.25">
      <c r="A97" s="230"/>
      <c r="D97" s="197" t="s">
        <v>338</v>
      </c>
      <c r="F97" s="185" t="s">
        <v>293</v>
      </c>
      <c r="H97" s="602">
        <f>H128</f>
        <v>2377.8000000000002</v>
      </c>
      <c r="I97" s="602">
        <f t="shared" ref="I97:J97" si="22">I128</f>
        <v>2492.1999999999998</v>
      </c>
      <c r="J97" s="602">
        <f t="shared" si="22"/>
        <v>2435.1999999999998</v>
      </c>
      <c r="K97" s="430">
        <f>Scenarios!G90*(1+K$71)</f>
        <v>2508.2559999999999</v>
      </c>
      <c r="L97" s="430">
        <f>Scenarios!H90*(1+L$71)</f>
        <v>2508.2559999999999</v>
      </c>
      <c r="M97" s="430">
        <f>Scenarios!I90*(1+M$71)</f>
        <v>2508.2559999999999</v>
      </c>
      <c r="N97" s="430">
        <f>Scenarios!J90*(1+N$71)</f>
        <v>2508.2559999999999</v>
      </c>
      <c r="O97" s="430">
        <f>Scenarios!K90*(1+O$71)</f>
        <v>2508.2559999999999</v>
      </c>
    </row>
    <row r="98" spans="1:15" ht="12.75" customHeight="1" x14ac:dyDescent="0.25">
      <c r="D98" s="197" t="s">
        <v>33</v>
      </c>
      <c r="F98" s="185" t="s">
        <v>293</v>
      </c>
      <c r="H98" s="602">
        <f t="shared" ref="H98:J98" si="23">H129</f>
        <v>-483.3</v>
      </c>
      <c r="I98" s="602">
        <f t="shared" si="23"/>
        <v>973.6</v>
      </c>
      <c r="J98" s="602">
        <f t="shared" si="23"/>
        <v>98.9</v>
      </c>
      <c r="K98" s="430">
        <f>Scenarios!G91*(1+K$71)</f>
        <v>566.5</v>
      </c>
      <c r="L98" s="430">
        <f>Scenarios!H91*(1+L$71)</f>
        <v>566.5</v>
      </c>
      <c r="M98" s="430">
        <f>Scenarios!I91*(1+M$71)</f>
        <v>566.5</v>
      </c>
      <c r="N98" s="430">
        <f>Scenarios!J91*(1+N$71)</f>
        <v>566.5</v>
      </c>
      <c r="O98" s="430">
        <f>Scenarios!K91*(1+O$71)</f>
        <v>566.5</v>
      </c>
    </row>
    <row r="99" spans="1:15" ht="12.95" customHeight="1" x14ac:dyDescent="0.25">
      <c r="D99" s="193" t="s">
        <v>71</v>
      </c>
      <c r="F99" s="226" t="s">
        <v>293</v>
      </c>
      <c r="H99" s="551"/>
      <c r="I99" s="551"/>
      <c r="J99" s="441">
        <f t="shared" ref="J99:O99" si="24">SUM(J97:J98)</f>
        <v>2534.1</v>
      </c>
      <c r="K99" s="441">
        <f t="shared" si="24"/>
        <v>3074.7559999999999</v>
      </c>
      <c r="L99" s="441">
        <f t="shared" si="24"/>
        <v>3074.7559999999999</v>
      </c>
      <c r="M99" s="441">
        <f t="shared" si="24"/>
        <v>3074.7559999999999</v>
      </c>
      <c r="N99" s="441">
        <f t="shared" si="24"/>
        <v>3074.7559999999999</v>
      </c>
      <c r="O99" s="441">
        <f t="shared" si="24"/>
        <v>3074.7559999999999</v>
      </c>
    </row>
    <row r="100" spans="1:15" ht="6" customHeight="1" x14ac:dyDescent="0.25">
      <c r="C100" s="191"/>
      <c r="F100" s="185"/>
      <c r="H100" s="288"/>
      <c r="I100" s="288"/>
      <c r="J100" s="288"/>
      <c r="K100" s="288"/>
      <c r="L100" s="288"/>
      <c r="M100" s="288"/>
      <c r="N100" s="288"/>
      <c r="O100" s="288"/>
    </row>
    <row r="101" spans="1:15" ht="15.75" thickBot="1" x14ac:dyDescent="0.3">
      <c r="C101" s="193" t="s">
        <v>72</v>
      </c>
      <c r="F101" s="226" t="s">
        <v>293</v>
      </c>
      <c r="H101" s="557"/>
      <c r="I101" s="557"/>
      <c r="J101" s="558">
        <f t="shared" ref="J101:O101" si="25">J99+J93</f>
        <v>2534.1</v>
      </c>
      <c r="K101" s="558">
        <f t="shared" si="25"/>
        <v>14840.553119999999</v>
      </c>
      <c r="L101" s="558">
        <f t="shared" si="25"/>
        <v>15370.013990399999</v>
      </c>
      <c r="M101" s="558">
        <f t="shared" si="25"/>
        <v>15923.300599967997</v>
      </c>
      <c r="N101" s="558">
        <f t="shared" si="25"/>
        <v>16501.48510696656</v>
      </c>
      <c r="O101" s="558">
        <f t="shared" si="25"/>
        <v>17105.687916780051</v>
      </c>
    </row>
    <row r="102" spans="1:15" ht="12.75" customHeight="1" thickTop="1" x14ac:dyDescent="0.25">
      <c r="B102" s="231"/>
      <c r="C102" s="232"/>
      <c r="D102" s="212"/>
      <c r="E102" s="212"/>
      <c r="F102" s="233"/>
      <c r="G102" s="234"/>
      <c r="H102" s="234"/>
      <c r="I102" s="234"/>
      <c r="J102" s="234"/>
      <c r="K102" s="234"/>
      <c r="L102" s="234"/>
      <c r="M102" s="234"/>
      <c r="N102" s="234"/>
      <c r="O102" s="234"/>
    </row>
    <row r="103" spans="1:15" x14ac:dyDescent="0.25">
      <c r="F103" s="185"/>
      <c r="H103" s="235"/>
      <c r="I103" s="235"/>
      <c r="J103" s="235"/>
      <c r="K103" s="235"/>
      <c r="L103" s="235"/>
      <c r="M103" s="235"/>
      <c r="N103" s="235"/>
      <c r="O103" s="235"/>
    </row>
    <row r="104" spans="1:15" ht="12.75" customHeight="1" x14ac:dyDescent="0.35">
      <c r="A104" s="176"/>
      <c r="B104" s="177"/>
      <c r="C104" s="173"/>
      <c r="D104" s="173"/>
      <c r="E104" s="173"/>
      <c r="F104" s="174"/>
      <c r="G104" s="173"/>
      <c r="H104" s="173"/>
      <c r="I104" s="173"/>
      <c r="J104" s="173"/>
      <c r="K104" s="173"/>
      <c r="L104" s="173"/>
      <c r="M104" s="173"/>
      <c r="N104" s="173"/>
      <c r="O104" s="214" t="str">
        <f>$O$1</f>
        <v>CURRENTLY RUNNING: BASE CASE SCENARIO</v>
      </c>
    </row>
    <row r="105" spans="1:15" ht="23.25" x14ac:dyDescent="0.35">
      <c r="A105" s="176"/>
      <c r="B105" s="177" t="str">
        <f>B$2</f>
        <v>McDonald's Corporation</v>
      </c>
      <c r="C105" s="173"/>
      <c r="D105" s="173"/>
      <c r="E105" s="173"/>
      <c r="F105" s="174"/>
      <c r="G105" s="173"/>
      <c r="H105" s="173"/>
      <c r="I105" s="173"/>
      <c r="J105" s="173"/>
      <c r="K105" s="173"/>
      <c r="L105" s="173"/>
      <c r="M105" s="173"/>
      <c r="N105" s="173"/>
      <c r="O105" s="173"/>
    </row>
    <row r="106" spans="1:15" ht="18.75" x14ac:dyDescent="0.3">
      <c r="A106" s="178"/>
      <c r="B106" s="179" t="s">
        <v>41</v>
      </c>
      <c r="C106" s="180"/>
      <c r="D106" s="180"/>
      <c r="E106" s="180"/>
      <c r="F106" s="181"/>
      <c r="G106" s="180"/>
      <c r="H106" s="180"/>
      <c r="I106" s="180"/>
      <c r="J106" s="180"/>
      <c r="K106" s="180"/>
      <c r="L106" s="180"/>
      <c r="M106" s="180"/>
      <c r="N106" s="180"/>
      <c r="O106" s="180"/>
    </row>
    <row r="107" spans="1:15" ht="3" customHeight="1" thickBot="1" x14ac:dyDescent="0.35">
      <c r="A107" s="178"/>
      <c r="B107" s="182"/>
      <c r="C107" s="183"/>
      <c r="D107" s="183"/>
      <c r="E107" s="183"/>
      <c r="F107" s="184"/>
      <c r="G107" s="183"/>
      <c r="H107" s="183"/>
      <c r="I107" s="183"/>
      <c r="J107" s="183"/>
      <c r="K107" s="183"/>
      <c r="L107" s="183"/>
      <c r="M107" s="183"/>
      <c r="N107" s="183"/>
      <c r="O107" s="183"/>
    </row>
    <row r="108" spans="1:15" ht="15" customHeight="1" x14ac:dyDescent="0.3">
      <c r="A108" s="179"/>
      <c r="B108" s="236" t="s">
        <v>3</v>
      </c>
      <c r="C108" s="180"/>
      <c r="D108" s="180"/>
      <c r="E108" s="180"/>
      <c r="F108" s="181"/>
      <c r="G108" s="180"/>
      <c r="H108" s="180"/>
      <c r="I108" s="180"/>
      <c r="J108" s="180"/>
      <c r="K108" s="180"/>
      <c r="L108" s="180"/>
      <c r="M108" s="180"/>
      <c r="N108" s="180"/>
      <c r="O108" s="180"/>
    </row>
    <row r="109" spans="1:15" x14ac:dyDescent="0.25">
      <c r="F109" s="185"/>
      <c r="G109" s="186"/>
      <c r="K109" s="187" t="s">
        <v>2</v>
      </c>
      <c r="L109" s="188"/>
      <c r="M109" s="188"/>
      <c r="N109" s="188"/>
      <c r="O109" s="188"/>
    </row>
    <row r="110" spans="1:15" x14ac:dyDescent="0.25">
      <c r="F110" s="185"/>
      <c r="G110" s="189"/>
      <c r="H110" s="190">
        <f t="shared" ref="H110:J110" si="26">H$7</f>
        <v>2021</v>
      </c>
      <c r="I110" s="190">
        <f t="shared" si="26"/>
        <v>2022</v>
      </c>
      <c r="J110" s="190">
        <f t="shared" si="26"/>
        <v>2023</v>
      </c>
      <c r="K110" s="215">
        <f>K$7</f>
        <v>2024</v>
      </c>
      <c r="L110" s="215">
        <f>L$7</f>
        <v>2025</v>
      </c>
      <c r="M110" s="215">
        <f>M$7</f>
        <v>2026</v>
      </c>
      <c r="N110" s="215">
        <f>N$7</f>
        <v>2027</v>
      </c>
      <c r="O110" s="215">
        <f>O$7</f>
        <v>2028</v>
      </c>
    </row>
    <row r="111" spans="1:15" ht="6" customHeight="1" x14ac:dyDescent="0.25">
      <c r="F111" s="185"/>
      <c r="G111" s="189"/>
      <c r="H111" s="189"/>
      <c r="I111" s="189"/>
      <c r="J111" s="189"/>
      <c r="K111" s="237"/>
      <c r="L111" s="237"/>
      <c r="M111" s="237"/>
      <c r="N111" s="145"/>
      <c r="O111" s="195"/>
    </row>
    <row r="112" spans="1:15" x14ac:dyDescent="0.25">
      <c r="B112" s="238" t="s">
        <v>345</v>
      </c>
      <c r="C112" s="239"/>
      <c r="D112" s="239"/>
      <c r="E112" s="239"/>
      <c r="F112" s="239"/>
      <c r="G112" s="240"/>
      <c r="H112" s="562">
        <f>H30</f>
        <v>40031</v>
      </c>
      <c r="I112" s="562">
        <f t="shared" ref="I112:O112" si="27">I30</f>
        <v>40275</v>
      </c>
      <c r="J112" s="562">
        <f t="shared" si="27"/>
        <v>41822</v>
      </c>
      <c r="K112" s="562">
        <f t="shared" si="27"/>
        <v>43703.99</v>
      </c>
      <c r="L112" s="562">
        <f t="shared" si="27"/>
        <v>45670.669549999999</v>
      </c>
      <c r="M112" s="562">
        <f t="shared" si="27"/>
        <v>47725.84967974999</v>
      </c>
      <c r="N112" s="562">
        <f t="shared" si="27"/>
        <v>49873.512915338739</v>
      </c>
      <c r="O112" s="562">
        <f t="shared" si="27"/>
        <v>52117.820996528972</v>
      </c>
    </row>
    <row r="113" spans="1:15" ht="6" customHeight="1" x14ac:dyDescent="0.25">
      <c r="F113" s="194"/>
      <c r="G113" s="189"/>
      <c r="H113" s="189"/>
      <c r="I113" s="189"/>
      <c r="J113" s="189"/>
      <c r="K113" s="237"/>
      <c r="L113" s="237"/>
      <c r="M113" s="237"/>
      <c r="N113" s="145"/>
      <c r="O113" s="195"/>
    </row>
    <row r="114" spans="1:15" x14ac:dyDescent="0.25">
      <c r="B114" s="191" t="s">
        <v>66</v>
      </c>
      <c r="F114" s="194"/>
      <c r="G114" s="189"/>
      <c r="H114" s="189"/>
      <c r="I114" s="189"/>
      <c r="J114" s="189"/>
      <c r="K114" s="237"/>
      <c r="L114" s="237"/>
      <c r="M114" s="237"/>
      <c r="N114" s="145"/>
      <c r="O114" s="195"/>
    </row>
    <row r="115" spans="1:15" x14ac:dyDescent="0.25">
      <c r="C115" t="s">
        <v>284</v>
      </c>
      <c r="F115" s="194"/>
      <c r="G115" s="189"/>
      <c r="H115" s="372">
        <v>9787.4</v>
      </c>
      <c r="I115" s="372">
        <v>8748.4</v>
      </c>
      <c r="J115" s="372">
        <v>9741.6</v>
      </c>
      <c r="K115" s="373">
        <f>SUM(K54:K56)</f>
        <v>9808.1087499999994</v>
      </c>
      <c r="L115" s="373">
        <f>SUM(L54:L56)</f>
        <v>10249.47364375</v>
      </c>
      <c r="M115" s="373">
        <f>SUM(M54:M56)</f>
        <v>10710.699957718749</v>
      </c>
      <c r="N115" s="373">
        <f>SUM(N54:N56)</f>
        <v>11192.681455816091</v>
      </c>
      <c r="O115" s="373">
        <f>SUM(O54:O56)</f>
        <v>11696.352121327815</v>
      </c>
    </row>
    <row r="116" spans="1:15" x14ac:dyDescent="0.25">
      <c r="C116" t="s">
        <v>285</v>
      </c>
      <c r="F116" s="194"/>
      <c r="G116" s="189"/>
      <c r="H116" s="372">
        <v>13085.4</v>
      </c>
      <c r="I116" s="372">
        <v>14105.8</v>
      </c>
      <c r="J116" s="372">
        <v>15436.5</v>
      </c>
      <c r="K116" s="373">
        <f>SUM(K50:K52)</f>
        <v>16441.361199999999</v>
      </c>
      <c r="L116" s="373">
        <f>SUM(L50:L52)</f>
        <v>17181.222453999995</v>
      </c>
      <c r="M116" s="373">
        <f>SUM(M50:M52)</f>
        <v>17954.377464429996</v>
      </c>
      <c r="N116" s="373">
        <f>SUM(N50:N52)</f>
        <v>18762.324450329343</v>
      </c>
      <c r="O116" s="373">
        <f>SUM(O50:O52)</f>
        <v>19606.629050594162</v>
      </c>
    </row>
    <row r="117" spans="1:15" x14ac:dyDescent="0.25">
      <c r="C117" t="s">
        <v>286</v>
      </c>
      <c r="F117" s="194"/>
      <c r="G117" s="189"/>
      <c r="H117" s="372">
        <v>350.1</v>
      </c>
      <c r="I117" s="372">
        <v>328.4</v>
      </c>
      <c r="J117" s="372">
        <v>315.60000000000002</v>
      </c>
      <c r="K117" s="373">
        <f>K57</f>
        <v>329.80200000000002</v>
      </c>
      <c r="L117" s="373">
        <f>L57</f>
        <v>344.64308999999997</v>
      </c>
      <c r="M117" s="373">
        <f>M57</f>
        <v>360.15202904999995</v>
      </c>
      <c r="N117" s="373">
        <f>N57</f>
        <v>376.35887035724994</v>
      </c>
      <c r="O117" s="373">
        <f>O57</f>
        <v>393.29501952332618</v>
      </c>
    </row>
    <row r="118" spans="1:15" x14ac:dyDescent="0.25">
      <c r="C118" s="191" t="s">
        <v>6</v>
      </c>
      <c r="F118" s="207"/>
      <c r="G118" s="189"/>
      <c r="H118" s="393">
        <f t="shared" ref="H118:O118" si="28">SUM(H115:H117)</f>
        <v>23222.899999999998</v>
      </c>
      <c r="I118" s="393">
        <f t="shared" si="28"/>
        <v>23182.6</v>
      </c>
      <c r="J118" s="393">
        <f t="shared" si="28"/>
        <v>25493.699999999997</v>
      </c>
      <c r="K118" s="393">
        <f t="shared" si="28"/>
        <v>26579.271949999998</v>
      </c>
      <c r="L118" s="393">
        <f t="shared" si="28"/>
        <v>27775.339187749996</v>
      </c>
      <c r="M118" s="393">
        <f t="shared" si="28"/>
        <v>29025.229451198746</v>
      </c>
      <c r="N118" s="393">
        <f t="shared" si="28"/>
        <v>30331.364776502684</v>
      </c>
      <c r="O118" s="393">
        <f t="shared" si="28"/>
        <v>31696.276191445304</v>
      </c>
    </row>
    <row r="119" spans="1:15" x14ac:dyDescent="0.25">
      <c r="F119" s="194"/>
      <c r="G119" s="189"/>
      <c r="H119" s="377"/>
      <c r="I119" s="377"/>
      <c r="J119" s="377"/>
      <c r="K119" s="378"/>
      <c r="L119" s="378"/>
      <c r="M119" s="378"/>
      <c r="N119" s="378"/>
      <c r="O119" s="379"/>
    </row>
    <row r="120" spans="1:15" x14ac:dyDescent="0.25">
      <c r="B120" s="191" t="s">
        <v>73</v>
      </c>
      <c r="F120" s="194"/>
      <c r="G120" s="189"/>
      <c r="H120" s="377"/>
      <c r="I120" s="377"/>
      <c r="J120" s="377"/>
      <c r="K120" s="378"/>
      <c r="L120" s="378"/>
      <c r="M120" s="378"/>
      <c r="N120" s="378"/>
      <c r="O120" s="379"/>
    </row>
    <row r="121" spans="1:15" x14ac:dyDescent="0.25">
      <c r="B121" s="191"/>
      <c r="C121" t="s">
        <v>287</v>
      </c>
      <c r="F121" s="194"/>
      <c r="G121" s="189"/>
      <c r="H121" s="377"/>
      <c r="I121" s="377"/>
      <c r="J121" s="377"/>
      <c r="K121" s="378"/>
      <c r="L121" s="378"/>
      <c r="M121" s="378"/>
      <c r="N121" s="378"/>
      <c r="O121" s="379"/>
    </row>
    <row r="122" spans="1:15" x14ac:dyDescent="0.25">
      <c r="C122" s="531" t="s">
        <v>288</v>
      </c>
      <c r="F122" s="194"/>
      <c r="G122" s="189"/>
      <c r="H122" s="372">
        <v>3096.8</v>
      </c>
      <c r="I122" s="372">
        <v>2737.3</v>
      </c>
      <c r="J122" s="372">
        <v>3039</v>
      </c>
      <c r="K122" s="373">
        <f>K86</f>
        <v>3271.02765</v>
      </c>
      <c r="L122" s="373">
        <f t="shared" ref="L122:O122" si="29">L86</f>
        <v>3418.2238942499994</v>
      </c>
      <c r="M122" s="373">
        <f t="shared" si="29"/>
        <v>3572.0439694912498</v>
      </c>
      <c r="N122" s="373">
        <f t="shared" si="29"/>
        <v>3732.7859481183555</v>
      </c>
      <c r="O122" s="373">
        <f t="shared" si="29"/>
        <v>3900.7613157836809</v>
      </c>
    </row>
    <row r="123" spans="1:15" x14ac:dyDescent="0.25">
      <c r="C123" s="531" t="s">
        <v>289</v>
      </c>
      <c r="F123" s="194"/>
      <c r="G123" s="189"/>
      <c r="H123" s="372">
        <v>2677.2</v>
      </c>
      <c r="I123" s="372">
        <v>2617.4</v>
      </c>
      <c r="J123" s="372">
        <v>2885.8</v>
      </c>
      <c r="K123" s="373">
        <f>K87</f>
        <v>3106.1308300000001</v>
      </c>
      <c r="L123" s="373">
        <f t="shared" ref="L123:O123" si="30">L87</f>
        <v>3245.9067173499998</v>
      </c>
      <c r="M123" s="373">
        <f t="shared" si="30"/>
        <v>3391.9725196307495</v>
      </c>
      <c r="N123" s="373">
        <f t="shared" si="30"/>
        <v>3544.6112830141328</v>
      </c>
      <c r="O123" s="373">
        <f t="shared" si="30"/>
        <v>3704.1187907497683</v>
      </c>
    </row>
    <row r="124" spans="1:15" x14ac:dyDescent="0.25">
      <c r="C124" s="531" t="s">
        <v>290</v>
      </c>
      <c r="F124" s="194"/>
      <c r="G124" s="189"/>
      <c r="H124" s="372">
        <v>2273.3000000000002</v>
      </c>
      <c r="I124" s="372">
        <v>2026.2</v>
      </c>
      <c r="J124" s="372">
        <v>2299.3000000000002</v>
      </c>
      <c r="K124" s="373">
        <f>K88</f>
        <v>2474.8515550000002</v>
      </c>
      <c r="L124" s="373">
        <f t="shared" ref="L124:O124" si="31">L88</f>
        <v>2586.219874975</v>
      </c>
      <c r="M124" s="373">
        <f t="shared" si="31"/>
        <v>2702.5997693488748</v>
      </c>
      <c r="N124" s="373">
        <f t="shared" si="31"/>
        <v>2824.2167589695741</v>
      </c>
      <c r="O124" s="373">
        <f t="shared" si="31"/>
        <v>2951.3065131232047</v>
      </c>
    </row>
    <row r="125" spans="1:15" x14ac:dyDescent="0.25">
      <c r="C125" t="s">
        <v>292</v>
      </c>
      <c r="F125" s="194"/>
      <c r="G125" s="189"/>
      <c r="H125" s="372">
        <v>2335</v>
      </c>
      <c r="I125" s="372">
        <v>2349.6999999999998</v>
      </c>
      <c r="J125" s="372">
        <v>2474.6</v>
      </c>
      <c r="K125" s="373">
        <f>K90</f>
        <v>2663.5357100000001</v>
      </c>
      <c r="L125" s="373">
        <f t="shared" ref="L125:O125" si="32">L90</f>
        <v>2783.3948169499995</v>
      </c>
      <c r="M125" s="373">
        <f t="shared" si="32"/>
        <v>2908.6475837127496</v>
      </c>
      <c r="N125" s="373">
        <f t="shared" si="32"/>
        <v>3039.5367249798232</v>
      </c>
      <c r="O125" s="373">
        <f t="shared" si="32"/>
        <v>3176.3158776039145</v>
      </c>
    </row>
    <row r="126" spans="1:15" x14ac:dyDescent="0.25">
      <c r="C126" t="s">
        <v>291</v>
      </c>
      <c r="F126" s="194"/>
      <c r="G126" s="189"/>
      <c r="H126" s="374">
        <v>260.39999999999998</v>
      </c>
      <c r="I126" s="374">
        <v>244.8</v>
      </c>
      <c r="J126" s="374">
        <v>232.5</v>
      </c>
      <c r="K126" s="375">
        <f>K92</f>
        <v>250.25137500000002</v>
      </c>
      <c r="L126" s="375">
        <f t="shared" ref="L126:O126" si="33">L92</f>
        <v>261.51268687499993</v>
      </c>
      <c r="M126" s="375">
        <f t="shared" si="33"/>
        <v>273.28075778437494</v>
      </c>
      <c r="N126" s="375">
        <f t="shared" si="33"/>
        <v>285.57839188467182</v>
      </c>
      <c r="O126" s="375">
        <f t="shared" si="33"/>
        <v>298.429419519482</v>
      </c>
    </row>
    <row r="127" spans="1:15" x14ac:dyDescent="0.25">
      <c r="F127" s="194"/>
      <c r="G127" s="189"/>
      <c r="H127" s="376">
        <f>SUM(H122:H126)</f>
        <v>10642.699999999999</v>
      </c>
      <c r="I127" s="376">
        <f>SUM(I122:I126)</f>
        <v>9975.4</v>
      </c>
      <c r="J127" s="376">
        <f>SUM(J122:J126)</f>
        <v>10931.2</v>
      </c>
      <c r="K127" s="376">
        <f>K93</f>
        <v>11765.797119999999</v>
      </c>
      <c r="L127" s="376">
        <f>L93</f>
        <v>12295.257990399999</v>
      </c>
      <c r="M127" s="376">
        <f>M93</f>
        <v>12848.544599967998</v>
      </c>
      <c r="N127" s="376">
        <f>N93</f>
        <v>13426.729106966559</v>
      </c>
      <c r="O127" s="376">
        <f>O93</f>
        <v>14030.93191678005</v>
      </c>
    </row>
    <row r="128" spans="1:15" x14ac:dyDescent="0.25">
      <c r="A128" s="210"/>
      <c r="C128" s="196" t="s">
        <v>339</v>
      </c>
      <c r="F128" s="194"/>
      <c r="G128" s="189"/>
      <c r="H128" s="389">
        <v>2377.8000000000002</v>
      </c>
      <c r="I128" s="389">
        <v>2492.1999999999998</v>
      </c>
      <c r="J128" s="389">
        <v>2435.1999999999998</v>
      </c>
      <c r="K128" s="373">
        <f t="shared" ref="K128:O129" si="34">K97</f>
        <v>2508.2559999999999</v>
      </c>
      <c r="L128" s="373">
        <f t="shared" si="34"/>
        <v>2508.2559999999999</v>
      </c>
      <c r="M128" s="373">
        <f t="shared" si="34"/>
        <v>2508.2559999999999</v>
      </c>
      <c r="N128" s="373">
        <f t="shared" si="34"/>
        <v>2508.2559999999999</v>
      </c>
      <c r="O128" s="373">
        <f t="shared" si="34"/>
        <v>2508.2559999999999</v>
      </c>
    </row>
    <row r="129" spans="1:17" x14ac:dyDescent="0.25">
      <c r="A129" s="210"/>
      <c r="C129" s="196" t="s">
        <v>33</v>
      </c>
      <c r="F129" s="194"/>
      <c r="G129" s="189"/>
      <c r="H129" s="389">
        <v>-483.3</v>
      </c>
      <c r="I129" s="389">
        <v>973.6</v>
      </c>
      <c r="J129" s="389">
        <v>98.9</v>
      </c>
      <c r="K129" s="373">
        <f t="shared" si="34"/>
        <v>566.5</v>
      </c>
      <c r="L129" s="373">
        <f t="shared" si="34"/>
        <v>566.5</v>
      </c>
      <c r="M129" s="373">
        <f t="shared" si="34"/>
        <v>566.5</v>
      </c>
      <c r="N129" s="373">
        <f t="shared" si="34"/>
        <v>566.5</v>
      </c>
      <c r="O129" s="373">
        <f t="shared" si="34"/>
        <v>566.5</v>
      </c>
    </row>
    <row r="130" spans="1:17" x14ac:dyDescent="0.25">
      <c r="C130" s="193" t="s">
        <v>72</v>
      </c>
      <c r="F130" s="207"/>
      <c r="G130" s="189"/>
      <c r="H130" s="393">
        <f t="shared" ref="H130:O130" si="35">SUM(H127:H129)</f>
        <v>12537.2</v>
      </c>
      <c r="I130" s="393">
        <f t="shared" si="35"/>
        <v>13441.199999999999</v>
      </c>
      <c r="J130" s="393">
        <f t="shared" si="35"/>
        <v>13465.300000000001</v>
      </c>
      <c r="K130" s="393">
        <f t="shared" si="35"/>
        <v>14840.553119999999</v>
      </c>
      <c r="L130" s="393">
        <f t="shared" si="35"/>
        <v>15370.013990399999</v>
      </c>
      <c r="M130" s="393">
        <f t="shared" si="35"/>
        <v>15923.300599967997</v>
      </c>
      <c r="N130" s="393">
        <f t="shared" si="35"/>
        <v>16501.48510696656</v>
      </c>
      <c r="O130" s="393">
        <f t="shared" si="35"/>
        <v>17105.687916780051</v>
      </c>
    </row>
    <row r="131" spans="1:17" x14ac:dyDescent="0.25">
      <c r="C131" s="193"/>
      <c r="F131" s="207"/>
      <c r="G131" s="189"/>
      <c r="H131" s="376"/>
      <c r="I131" s="376"/>
      <c r="J131" s="376"/>
      <c r="K131" s="376"/>
      <c r="L131" s="376"/>
      <c r="M131" s="376"/>
      <c r="N131" s="376"/>
      <c r="O131" s="376"/>
    </row>
    <row r="132" spans="1:17" x14ac:dyDescent="0.25">
      <c r="A132" s="210"/>
      <c r="C132" s="196" t="s">
        <v>42</v>
      </c>
      <c r="F132" s="194"/>
      <c r="G132" s="189"/>
      <c r="H132" s="380"/>
      <c r="I132" s="380"/>
      <c r="J132" s="380"/>
      <c r="K132" s="381">
        <f>Assumptions!J56</f>
        <v>0</v>
      </c>
      <c r="L132" s="381">
        <f>Assumptions!K56</f>
        <v>0</v>
      </c>
      <c r="M132" s="381">
        <f>Assumptions!L56</f>
        <v>0</v>
      </c>
      <c r="N132" s="381">
        <f>Assumptions!M56</f>
        <v>0</v>
      </c>
      <c r="O132" s="381">
        <f>Assumptions!N56</f>
        <v>0</v>
      </c>
    </row>
    <row r="133" spans="1:17" x14ac:dyDescent="0.25">
      <c r="B133" s="191"/>
      <c r="C133" s="191" t="s">
        <v>10</v>
      </c>
      <c r="F133" s="207"/>
      <c r="H133" s="382">
        <f t="shared" ref="H133:O133" si="36">H118-H130+H132</f>
        <v>10685.699999999997</v>
      </c>
      <c r="I133" s="382">
        <f t="shared" si="36"/>
        <v>9741.4</v>
      </c>
      <c r="J133" s="382">
        <f t="shared" si="36"/>
        <v>12028.399999999996</v>
      </c>
      <c r="K133" s="382">
        <f t="shared" si="36"/>
        <v>11738.71883</v>
      </c>
      <c r="L133" s="382">
        <f t="shared" si="36"/>
        <v>12405.325197349997</v>
      </c>
      <c r="M133" s="382">
        <f t="shared" si="36"/>
        <v>13101.928851230748</v>
      </c>
      <c r="N133" s="382">
        <f t="shared" si="36"/>
        <v>13829.879669536123</v>
      </c>
      <c r="O133" s="382">
        <f t="shared" si="36"/>
        <v>14590.588274665253</v>
      </c>
    </row>
    <row r="134" spans="1:17" x14ac:dyDescent="0.25">
      <c r="F134" s="194"/>
      <c r="H134" s="383"/>
      <c r="I134" s="383"/>
      <c r="J134" s="383"/>
      <c r="K134" s="383"/>
      <c r="L134" s="383"/>
      <c r="M134" s="383"/>
      <c r="N134" s="383"/>
      <c r="O134" s="383"/>
    </row>
    <row r="135" spans="1:17" x14ac:dyDescent="0.25">
      <c r="C135" t="s">
        <v>331</v>
      </c>
      <c r="F135" s="194"/>
      <c r="H135" s="403">
        <v>329.7</v>
      </c>
      <c r="I135" s="403">
        <v>370.4</v>
      </c>
      <c r="J135" s="403">
        <v>381.7</v>
      </c>
      <c r="K135" s="606">
        <f>K279</f>
        <v>390.46999999999991</v>
      </c>
      <c r="L135" s="606">
        <f t="shared" ref="L135:O135" si="37">L279</f>
        <v>403.59499999999991</v>
      </c>
      <c r="M135" s="606">
        <f t="shared" si="37"/>
        <v>418.03249999999991</v>
      </c>
      <c r="N135" s="606">
        <f t="shared" si="37"/>
        <v>433.91374999999988</v>
      </c>
      <c r="O135" s="606">
        <f t="shared" si="37"/>
        <v>451.38312499999989</v>
      </c>
      <c r="Q135" s="610"/>
    </row>
    <row r="136" spans="1:17" hidden="1" x14ac:dyDescent="0.25">
      <c r="C136" t="s">
        <v>332</v>
      </c>
      <c r="F136" s="194"/>
      <c r="H136" s="403">
        <v>0</v>
      </c>
      <c r="I136" s="403">
        <v>0</v>
      </c>
      <c r="J136" s="403">
        <v>0</v>
      </c>
      <c r="K136" s="606">
        <f>K302</f>
        <v>0</v>
      </c>
      <c r="L136" s="606">
        <f t="shared" ref="L136:O136" si="38">L302</f>
        <v>0</v>
      </c>
      <c r="M136" s="606">
        <f t="shared" si="38"/>
        <v>0</v>
      </c>
      <c r="N136" s="606">
        <f t="shared" si="38"/>
        <v>0</v>
      </c>
      <c r="O136" s="606">
        <f t="shared" si="38"/>
        <v>0</v>
      </c>
    </row>
    <row r="137" spans="1:17" hidden="1" x14ac:dyDescent="0.25">
      <c r="C137" t="s">
        <v>243</v>
      </c>
      <c r="F137" s="194"/>
      <c r="H137" s="384">
        <v>0</v>
      </c>
      <c r="I137" s="384">
        <v>0</v>
      </c>
      <c r="J137" s="384">
        <v>0</v>
      </c>
      <c r="K137" s="607">
        <f>Assumptions!J68</f>
        <v>0</v>
      </c>
      <c r="L137" s="607">
        <f>Assumptions!K68</f>
        <v>0</v>
      </c>
      <c r="M137" s="607">
        <f>Assumptions!L68</f>
        <v>0</v>
      </c>
      <c r="N137" s="607">
        <f>Assumptions!M68</f>
        <v>0</v>
      </c>
      <c r="O137" s="607">
        <f>Assumptions!N68</f>
        <v>0</v>
      </c>
    </row>
    <row r="138" spans="1:17" x14ac:dyDescent="0.25">
      <c r="C138" s="193" t="s">
        <v>74</v>
      </c>
      <c r="F138" s="207"/>
      <c r="H138" s="402">
        <f>H133-SUM(H135:H137)</f>
        <v>10355.999999999996</v>
      </c>
      <c r="I138" s="402">
        <f t="shared" ref="I138:O138" si="39">I133-SUM(I135:I137)</f>
        <v>9371</v>
      </c>
      <c r="J138" s="402">
        <f t="shared" si="39"/>
        <v>11646.699999999995</v>
      </c>
      <c r="K138" s="402">
        <f>K133-SUM(K135:K137)</f>
        <v>11348.24883</v>
      </c>
      <c r="L138" s="402">
        <f t="shared" si="39"/>
        <v>12001.730197349998</v>
      </c>
      <c r="M138" s="402">
        <f t="shared" si="39"/>
        <v>12683.896351230749</v>
      </c>
      <c r="N138" s="402">
        <f t="shared" si="39"/>
        <v>13395.965919536124</v>
      </c>
      <c r="O138" s="402">
        <f t="shared" si="39"/>
        <v>14139.205149665253</v>
      </c>
    </row>
    <row r="139" spans="1:17" ht="6" customHeight="1" x14ac:dyDescent="0.25">
      <c r="C139" s="193"/>
      <c r="F139" s="207"/>
      <c r="H139" s="386"/>
      <c r="I139" s="386"/>
      <c r="J139" s="386"/>
      <c r="K139" s="386"/>
      <c r="L139" s="386"/>
      <c r="M139" s="386"/>
      <c r="N139" s="386"/>
      <c r="O139" s="386"/>
    </row>
    <row r="140" spans="1:17" ht="6" customHeight="1" x14ac:dyDescent="0.25">
      <c r="C140" s="193"/>
      <c r="F140" s="207"/>
      <c r="H140" s="386"/>
      <c r="I140" s="386"/>
      <c r="J140" s="386"/>
      <c r="K140" s="386"/>
      <c r="L140" s="386"/>
      <c r="M140" s="386"/>
      <c r="N140" s="386"/>
      <c r="O140" s="386"/>
    </row>
    <row r="141" spans="1:17" x14ac:dyDescent="0.25">
      <c r="C141" s="197" t="s">
        <v>168</v>
      </c>
      <c r="F141" s="194"/>
      <c r="H141" s="391">
        <v>-42.3</v>
      </c>
      <c r="I141" s="391">
        <v>-338.6</v>
      </c>
      <c r="J141" s="391">
        <v>236.3</v>
      </c>
      <c r="K141" s="430">
        <f>Assumptions!J87</f>
        <v>0</v>
      </c>
      <c r="L141" s="430">
        <f>Assumptions!K87</f>
        <v>0</v>
      </c>
      <c r="M141" s="430">
        <f>Assumptions!L87</f>
        <v>0</v>
      </c>
      <c r="N141" s="430">
        <f>Assumptions!M87</f>
        <v>0</v>
      </c>
      <c r="O141" s="430">
        <f>Assumptions!N87</f>
        <v>0</v>
      </c>
    </row>
    <row r="142" spans="1:17" x14ac:dyDescent="0.25">
      <c r="C142" s="197" t="s">
        <v>271</v>
      </c>
      <c r="F142" s="194"/>
      <c r="H142" s="387">
        <v>-1185.8</v>
      </c>
      <c r="I142" s="387">
        <v>-1207</v>
      </c>
      <c r="J142" s="387">
        <v>-1360.8</v>
      </c>
      <c r="K142" s="388">
        <f>-K419</f>
        <v>-1883.134</v>
      </c>
      <c r="L142" s="388">
        <f t="shared" ref="L142:O142" si="40">-L419</f>
        <v>-1953.6162458792451</v>
      </c>
      <c r="M142" s="388">
        <f t="shared" si="40"/>
        <v>-1973.6549586859171</v>
      </c>
      <c r="N142" s="388">
        <f t="shared" si="40"/>
        <v>-1980.1326605032759</v>
      </c>
      <c r="O142" s="388">
        <f t="shared" si="40"/>
        <v>-1982.8543849080415</v>
      </c>
    </row>
    <row r="143" spans="1:17" x14ac:dyDescent="0.25">
      <c r="C143" s="198" t="s">
        <v>75</v>
      </c>
      <c r="F143" s="207"/>
      <c r="H143" s="383">
        <f>H138+H141+H142</f>
        <v>9127.8999999999978</v>
      </c>
      <c r="I143" s="383">
        <f t="shared" ref="I143:O143" si="41">I138+I141+I142</f>
        <v>7825.4</v>
      </c>
      <c r="J143" s="383">
        <f t="shared" si="41"/>
        <v>10522.199999999995</v>
      </c>
      <c r="K143" s="383">
        <f t="shared" si="41"/>
        <v>9465.1148300000004</v>
      </c>
      <c r="L143" s="383">
        <f t="shared" si="41"/>
        <v>10048.113951470754</v>
      </c>
      <c r="M143" s="383">
        <f t="shared" si="41"/>
        <v>10710.241392544833</v>
      </c>
      <c r="N143" s="383">
        <f t="shared" si="41"/>
        <v>11415.833259032848</v>
      </c>
      <c r="O143" s="383">
        <f t="shared" si="41"/>
        <v>12156.350764757211</v>
      </c>
    </row>
    <row r="144" spans="1:17" ht="6" customHeight="1" x14ac:dyDescent="0.25">
      <c r="C144" s="193"/>
      <c r="F144" s="207"/>
      <c r="H144" s="386"/>
      <c r="I144" s="386"/>
      <c r="J144" s="386"/>
      <c r="K144" s="386"/>
      <c r="L144" s="386"/>
      <c r="M144" s="386"/>
      <c r="N144" s="386"/>
      <c r="O144" s="386"/>
    </row>
    <row r="145" spans="2:16" x14ac:dyDescent="0.25">
      <c r="C145" t="s">
        <v>76</v>
      </c>
      <c r="F145" s="194"/>
      <c r="H145" s="372">
        <v>1582.7</v>
      </c>
      <c r="I145" s="372">
        <v>1648</v>
      </c>
      <c r="J145" s="372">
        <v>2053.4</v>
      </c>
      <c r="K145" s="383">
        <f t="shared" ref="K145:O146" si="42">K322</f>
        <v>1869.7672244999999</v>
      </c>
      <c r="L145" s="383">
        <f t="shared" si="42"/>
        <v>1957.217092720613</v>
      </c>
      <c r="M145" s="383">
        <f t="shared" si="42"/>
        <v>2056.5362088817246</v>
      </c>
      <c r="N145" s="383">
        <f t="shared" si="42"/>
        <v>2162.3749888549273</v>
      </c>
      <c r="O145" s="383">
        <f t="shared" si="42"/>
        <v>2273.4526147135816</v>
      </c>
    </row>
    <row r="146" spans="2:16" x14ac:dyDescent="0.25">
      <c r="C146" t="s">
        <v>77</v>
      </c>
      <c r="F146" s="194"/>
      <c r="H146" s="374"/>
      <c r="I146" s="374"/>
      <c r="J146" s="374"/>
      <c r="K146" s="385">
        <f t="shared" si="42"/>
        <v>-449.99999999999977</v>
      </c>
      <c r="L146" s="385">
        <f t="shared" si="42"/>
        <v>-450</v>
      </c>
      <c r="M146" s="385">
        <f t="shared" si="42"/>
        <v>-449.99999999999977</v>
      </c>
      <c r="N146" s="385">
        <f t="shared" si="42"/>
        <v>-450.00000000000023</v>
      </c>
      <c r="O146" s="385">
        <f t="shared" si="42"/>
        <v>-450</v>
      </c>
    </row>
    <row r="147" spans="2:16" x14ac:dyDescent="0.25">
      <c r="C147" s="191" t="s">
        <v>78</v>
      </c>
      <c r="F147" s="207"/>
      <c r="H147" s="379">
        <f t="shared" ref="H147:O147" si="43">SUM(H145:H146)</f>
        <v>1582.7</v>
      </c>
      <c r="I147" s="379">
        <f t="shared" si="43"/>
        <v>1648</v>
      </c>
      <c r="J147" s="379">
        <f t="shared" si="43"/>
        <v>2053.4</v>
      </c>
      <c r="K147" s="379">
        <f t="shared" si="43"/>
        <v>1419.7672245000001</v>
      </c>
      <c r="L147" s="379">
        <f t="shared" si="43"/>
        <v>1507.217092720613</v>
      </c>
      <c r="M147" s="379">
        <f t="shared" si="43"/>
        <v>1606.5362088817249</v>
      </c>
      <c r="N147" s="379">
        <f t="shared" si="43"/>
        <v>1712.3749888549271</v>
      </c>
      <c r="O147" s="379">
        <f t="shared" si="43"/>
        <v>1823.4526147135816</v>
      </c>
    </row>
    <row r="148" spans="2:16" x14ac:dyDescent="0.25">
      <c r="F148" s="194"/>
      <c r="H148" s="379"/>
      <c r="I148" s="379"/>
      <c r="J148" s="379"/>
      <c r="K148" s="379"/>
      <c r="L148" s="379"/>
      <c r="M148" s="379"/>
      <c r="N148" s="379"/>
      <c r="O148" s="379"/>
    </row>
    <row r="149" spans="2:16" ht="15.75" thickBot="1" x14ac:dyDescent="0.3">
      <c r="C149" s="243" t="s">
        <v>12</v>
      </c>
      <c r="D149" s="191"/>
      <c r="E149" s="191"/>
      <c r="F149" s="207"/>
      <c r="H149" s="564">
        <f t="shared" ref="H149:N149" si="44">H143-H147</f>
        <v>7545.199999999998</v>
      </c>
      <c r="I149" s="564">
        <f t="shared" si="44"/>
        <v>6177.4</v>
      </c>
      <c r="J149" s="564">
        <f t="shared" si="44"/>
        <v>8468.7999999999956</v>
      </c>
      <c r="K149" s="564">
        <f t="shared" si="44"/>
        <v>8045.3476055000001</v>
      </c>
      <c r="L149" s="564">
        <f t="shared" si="44"/>
        <v>8540.8968587501404</v>
      </c>
      <c r="M149" s="564">
        <f t="shared" si="44"/>
        <v>9103.7051836631072</v>
      </c>
      <c r="N149" s="564">
        <f t="shared" si="44"/>
        <v>9703.4582701779218</v>
      </c>
      <c r="O149" s="564">
        <f>O143-O147</f>
        <v>10332.898150043629</v>
      </c>
    </row>
    <row r="150" spans="2:16" ht="15.75" thickTop="1" x14ac:dyDescent="0.25">
      <c r="C150" s="244"/>
      <c r="H150" s="415"/>
      <c r="I150" s="415"/>
      <c r="J150" s="415"/>
      <c r="K150" s="245"/>
      <c r="L150" s="245"/>
      <c r="M150" s="245"/>
      <c r="N150" s="245"/>
      <c r="O150" s="245"/>
    </row>
    <row r="151" spans="2:16" x14ac:dyDescent="0.25">
      <c r="C151" s="244" t="s">
        <v>170</v>
      </c>
      <c r="H151" s="245"/>
      <c r="I151" s="245"/>
      <c r="J151" s="245"/>
      <c r="K151" s="245"/>
      <c r="L151" s="245"/>
      <c r="M151" s="245"/>
      <c r="N151" s="245"/>
      <c r="O151" s="245"/>
    </row>
    <row r="152" spans="2:16" x14ac:dyDescent="0.25">
      <c r="C152" s="392" t="s">
        <v>169</v>
      </c>
      <c r="H152" s="389">
        <v>86.5</v>
      </c>
      <c r="I152" s="389">
        <v>55.5</v>
      </c>
      <c r="J152" s="389">
        <v>-36.4</v>
      </c>
      <c r="K152" s="608"/>
      <c r="L152" s="609"/>
      <c r="M152" s="609"/>
      <c r="N152" s="609"/>
      <c r="O152" s="609"/>
    </row>
    <row r="153" spans="2:16" x14ac:dyDescent="0.25">
      <c r="C153" s="392" t="s">
        <v>171</v>
      </c>
      <c r="H153" s="389">
        <v>0</v>
      </c>
      <c r="I153" s="389">
        <v>0</v>
      </c>
      <c r="J153" s="389">
        <v>0</v>
      </c>
      <c r="K153" s="390">
        <f>Assumptions!J$88</f>
        <v>0</v>
      </c>
      <c r="L153" s="431">
        <f>Assumptions!K$88</f>
        <v>0</v>
      </c>
      <c r="M153" s="431">
        <f>Assumptions!L$88</f>
        <v>0</v>
      </c>
      <c r="N153" s="431">
        <f>Assumptions!M$88</f>
        <v>0</v>
      </c>
      <c r="O153" s="431">
        <f>Assumptions!N$88</f>
        <v>0</v>
      </c>
    </row>
    <row r="154" spans="2:16" x14ac:dyDescent="0.25">
      <c r="C154" s="392" t="s">
        <v>172</v>
      </c>
      <c r="H154" s="389">
        <f>-181.5+108.1</f>
        <v>-73.400000000000006</v>
      </c>
      <c r="I154" s="389">
        <f>150.3-118.7</f>
        <v>31.600000000000009</v>
      </c>
      <c r="J154" s="389">
        <f>136.1-69.1</f>
        <v>67</v>
      </c>
      <c r="K154" s="608"/>
      <c r="L154" s="609"/>
      <c r="M154" s="609"/>
      <c r="N154" s="609"/>
      <c r="O154" s="609"/>
    </row>
    <row r="155" spans="2:16" x14ac:dyDescent="0.25">
      <c r="C155" s="244"/>
      <c r="H155" s="393">
        <f>SUM(H149,H152:H154)</f>
        <v>7558.2999999999984</v>
      </c>
      <c r="I155" s="393">
        <f t="shared" ref="I155:O155" si="45">SUM(I149,I152:I154)</f>
        <v>6264.5</v>
      </c>
      <c r="J155" s="393">
        <f t="shared" si="45"/>
        <v>8499.399999999996</v>
      </c>
      <c r="K155" s="393">
        <f t="shared" si="45"/>
        <v>8045.3476055000001</v>
      </c>
      <c r="L155" s="393">
        <f t="shared" si="45"/>
        <v>8540.8968587501404</v>
      </c>
      <c r="M155" s="393">
        <f t="shared" si="45"/>
        <v>9103.7051836631072</v>
      </c>
      <c r="N155" s="393">
        <f t="shared" si="45"/>
        <v>9703.4582701779218</v>
      </c>
      <c r="O155" s="393">
        <f t="shared" si="45"/>
        <v>10332.898150043629</v>
      </c>
    </row>
    <row r="156" spans="2:16" x14ac:dyDescent="0.25">
      <c r="F156" s="185"/>
      <c r="H156" s="235"/>
      <c r="I156" s="235"/>
      <c r="J156" s="235"/>
      <c r="K156" s="246"/>
      <c r="L156" s="246"/>
      <c r="M156" s="246"/>
      <c r="N156" s="246"/>
      <c r="O156" s="246"/>
    </row>
    <row r="157" spans="2:16" x14ac:dyDescent="0.25">
      <c r="B157" s="247" t="s">
        <v>79</v>
      </c>
      <c r="C157" s="248"/>
      <c r="D157" s="248"/>
      <c r="E157" s="248"/>
      <c r="F157" s="249"/>
      <c r="G157" s="248"/>
      <c r="H157" s="250"/>
      <c r="I157" s="250"/>
      <c r="J157" s="250"/>
      <c r="K157" s="250"/>
      <c r="L157" s="250"/>
      <c r="M157" s="250"/>
      <c r="N157" s="250"/>
      <c r="O157" s="251"/>
    </row>
    <row r="158" spans="2:16" x14ac:dyDescent="0.25">
      <c r="B158" s="252"/>
      <c r="C158" t="s">
        <v>80</v>
      </c>
      <c r="F158" s="185"/>
      <c r="H158" s="253">
        <f t="shared" ref="H158:O158" si="46">H133/H118</f>
        <v>0.46013633094919232</v>
      </c>
      <c r="I158" s="253">
        <f t="shared" si="46"/>
        <v>0.42020308334699302</v>
      </c>
      <c r="J158" s="253">
        <f>J133/J118</f>
        <v>0.47181852771469018</v>
      </c>
      <c r="K158" s="253">
        <f t="shared" si="46"/>
        <v>0.44164937444797092</v>
      </c>
      <c r="L158" s="253">
        <f t="shared" si="46"/>
        <v>0.44663091649376607</v>
      </c>
      <c r="M158" s="253">
        <f t="shared" si="46"/>
        <v>0.45139794237490988</v>
      </c>
      <c r="N158" s="253">
        <f t="shared" si="46"/>
        <v>0.45595968962959266</v>
      </c>
      <c r="O158" s="254">
        <f t="shared" si="46"/>
        <v>0.46032499800727988</v>
      </c>
      <c r="P158" s="255"/>
    </row>
    <row r="159" spans="2:16" x14ac:dyDescent="0.25">
      <c r="B159" s="252"/>
      <c r="C159" t="s">
        <v>81</v>
      </c>
      <c r="F159" s="256"/>
      <c r="H159" s="253">
        <f t="shared" ref="H159:O159" si="47">H138/H118</f>
        <v>0.44593913766153226</v>
      </c>
      <c r="I159" s="253">
        <f t="shared" si="47"/>
        <v>0.40422558298033873</v>
      </c>
      <c r="J159" s="253">
        <f t="shared" si="47"/>
        <v>0.45684620121834008</v>
      </c>
      <c r="K159" s="253">
        <f t="shared" si="47"/>
        <v>0.42695860335632713</v>
      </c>
      <c r="L159" s="253">
        <f t="shared" si="47"/>
        <v>0.43210022085502481</v>
      </c>
      <c r="M159" s="253">
        <f t="shared" si="47"/>
        <v>0.43699555838332582</v>
      </c>
      <c r="N159" s="253">
        <f t="shared" si="47"/>
        <v>0.44165391231962647</v>
      </c>
      <c r="O159" s="254">
        <f t="shared" si="47"/>
        <v>0.44608410982616836</v>
      </c>
    </row>
    <row r="160" spans="2:16" x14ac:dyDescent="0.25">
      <c r="B160" s="257"/>
      <c r="C160" s="212" t="s">
        <v>82</v>
      </c>
      <c r="D160" s="212"/>
      <c r="E160" s="212"/>
      <c r="F160" s="258"/>
      <c r="G160" s="212"/>
      <c r="H160" s="259"/>
      <c r="I160" s="259"/>
      <c r="J160" s="260">
        <f t="shared" ref="J160:O160" si="48">J149/J251</f>
        <v>-1.7993073703444007</v>
      </c>
      <c r="K160" s="260">
        <f t="shared" si="48"/>
        <v>-2.2960295250686413</v>
      </c>
      <c r="L160" s="260">
        <f t="shared" si="48"/>
        <v>-4.1999361881671682</v>
      </c>
      <c r="M160" s="260">
        <f t="shared" si="48"/>
        <v>-35.460897618100667</v>
      </c>
      <c r="N160" s="260">
        <f t="shared" si="48"/>
        <v>5.2593156901394966</v>
      </c>
      <c r="O160" s="261">
        <f t="shared" si="48"/>
        <v>2.3966161914317872</v>
      </c>
    </row>
    <row r="161" spans="1:18" x14ac:dyDescent="0.25">
      <c r="B161" s="212"/>
      <c r="C161" s="212"/>
      <c r="D161" s="212"/>
      <c r="E161" s="212"/>
      <c r="F161" s="212"/>
      <c r="G161" s="212"/>
      <c r="H161" s="212"/>
      <c r="I161" s="212"/>
      <c r="J161" s="212"/>
      <c r="K161" s="212"/>
      <c r="L161" s="212"/>
      <c r="M161" s="212"/>
      <c r="N161" s="212"/>
      <c r="O161" s="212"/>
    </row>
    <row r="162" spans="1:18" x14ac:dyDescent="0.25">
      <c r="C162" s="262"/>
      <c r="F162" s="256"/>
      <c r="H162" s="263"/>
      <c r="I162" s="263"/>
      <c r="J162" s="263"/>
      <c r="K162" s="263"/>
      <c r="L162" s="263"/>
      <c r="M162" s="263"/>
      <c r="N162" s="263"/>
      <c r="O162" s="263"/>
    </row>
    <row r="163" spans="1:18" ht="12.75" customHeight="1" x14ac:dyDescent="0.35">
      <c r="A163" s="176"/>
      <c r="B163" s="177"/>
      <c r="C163" s="173"/>
      <c r="D163" s="173"/>
      <c r="E163" s="173"/>
      <c r="F163" s="174"/>
      <c r="G163" s="173"/>
      <c r="H163" s="173"/>
      <c r="I163" s="173"/>
      <c r="J163" s="173"/>
      <c r="K163" s="173"/>
      <c r="L163" s="173"/>
      <c r="M163" s="173"/>
      <c r="N163" s="173"/>
      <c r="O163" s="214" t="str">
        <f>$O$1</f>
        <v>CURRENTLY RUNNING: BASE CASE SCENARIO</v>
      </c>
    </row>
    <row r="164" spans="1:18" ht="23.25" x14ac:dyDescent="0.35">
      <c r="B164" s="177" t="str">
        <f>B$2</f>
        <v>McDonald's Corporation</v>
      </c>
      <c r="C164" s="173"/>
      <c r="D164" s="173"/>
      <c r="E164" s="173"/>
      <c r="F164" s="173"/>
      <c r="G164" s="173"/>
      <c r="H164" s="173"/>
      <c r="I164" s="173"/>
      <c r="J164" s="173"/>
      <c r="K164" s="173"/>
      <c r="L164" s="173"/>
      <c r="M164" s="173"/>
      <c r="N164" s="173"/>
      <c r="O164" s="173"/>
    </row>
    <row r="165" spans="1:18" ht="18" x14ac:dyDescent="0.25">
      <c r="B165" s="179" t="s">
        <v>43</v>
      </c>
      <c r="C165" s="173"/>
      <c r="D165" s="173"/>
      <c r="E165" s="173"/>
      <c r="F165" s="173"/>
      <c r="G165" s="173"/>
      <c r="H165" s="173"/>
      <c r="I165" s="173"/>
      <c r="J165" s="173"/>
      <c r="K165" s="173"/>
      <c r="L165" s="173"/>
      <c r="M165" s="173"/>
      <c r="N165" s="173"/>
      <c r="O165" s="173"/>
    </row>
    <row r="166" spans="1:18" ht="3" customHeight="1" thickBot="1" x14ac:dyDescent="0.35">
      <c r="A166" s="178"/>
      <c r="B166" s="182"/>
      <c r="C166" s="183"/>
      <c r="D166" s="183"/>
      <c r="E166" s="183"/>
      <c r="F166" s="184"/>
      <c r="G166" s="183"/>
      <c r="H166" s="183"/>
      <c r="I166" s="183"/>
      <c r="J166" s="183"/>
      <c r="K166" s="183"/>
      <c r="L166" s="183"/>
      <c r="M166" s="183"/>
      <c r="N166" s="183"/>
      <c r="O166" s="183"/>
    </row>
    <row r="167" spans="1:18" x14ac:dyDescent="0.25">
      <c r="B167" s="236" t="str">
        <f>B108</f>
        <v>($ Millions)</v>
      </c>
    </row>
    <row r="168" spans="1:18" x14ac:dyDescent="0.25">
      <c r="K168" s="187" t="s">
        <v>2</v>
      </c>
      <c r="L168" s="188"/>
      <c r="M168" s="188"/>
      <c r="N168" s="188"/>
      <c r="O168" s="188"/>
    </row>
    <row r="169" spans="1:18" x14ac:dyDescent="0.25">
      <c r="B169" s="264"/>
      <c r="F169" s="265"/>
      <c r="G169" s="266"/>
      <c r="H169" s="190">
        <f t="shared" ref="H169:J169" si="49">H$7</f>
        <v>2021</v>
      </c>
      <c r="I169" s="190">
        <f t="shared" si="49"/>
        <v>2022</v>
      </c>
      <c r="J169" s="190">
        <f t="shared" si="49"/>
        <v>2023</v>
      </c>
      <c r="K169" s="267">
        <f>K$7</f>
        <v>2024</v>
      </c>
      <c r="L169" s="267">
        <f>L$7</f>
        <v>2025</v>
      </c>
      <c r="M169" s="267">
        <f>M$7</f>
        <v>2026</v>
      </c>
      <c r="N169" s="267">
        <f>N$7</f>
        <v>2027</v>
      </c>
      <c r="O169" s="267">
        <f>O$7</f>
        <v>2028</v>
      </c>
    </row>
    <row r="170" spans="1:18" x14ac:dyDescent="0.25">
      <c r="B170" s="191" t="s">
        <v>83</v>
      </c>
    </row>
    <row r="171" spans="1:18" x14ac:dyDescent="0.25">
      <c r="C171" t="s">
        <v>12</v>
      </c>
      <c r="G171" s="268"/>
      <c r="H171" s="397">
        <f t="shared" ref="H171:J171" si="50">H149</f>
        <v>7545.199999999998</v>
      </c>
      <c r="I171" s="397">
        <f t="shared" si="50"/>
        <v>6177.4</v>
      </c>
      <c r="J171" s="397">
        <f t="shared" si="50"/>
        <v>8468.7999999999956</v>
      </c>
      <c r="K171" s="397">
        <f>K149</f>
        <v>8045.3476055000001</v>
      </c>
      <c r="L171" s="396">
        <f>L149</f>
        <v>8540.8968587501404</v>
      </c>
      <c r="M171" s="396">
        <f>M149</f>
        <v>9103.7051836631072</v>
      </c>
      <c r="N171" s="396">
        <f>N149</f>
        <v>9703.4582701779218</v>
      </c>
      <c r="O171" s="396">
        <f>O149</f>
        <v>10332.898150043629</v>
      </c>
    </row>
    <row r="172" spans="1:18" x14ac:dyDescent="0.25">
      <c r="C172" t="s">
        <v>173</v>
      </c>
      <c r="G172" s="268"/>
      <c r="H172" s="395">
        <v>139.19999999999999</v>
      </c>
      <c r="I172" s="395">
        <v>166.7</v>
      </c>
      <c r="J172" s="395">
        <v>175.2</v>
      </c>
      <c r="K172" s="444">
        <f>Assumptions!J64</f>
        <v>180</v>
      </c>
      <c r="L172" s="444">
        <f>Assumptions!K64</f>
        <v>200</v>
      </c>
      <c r="M172" s="444">
        <f>Assumptions!L64</f>
        <v>225</v>
      </c>
      <c r="N172" s="444">
        <f>Assumptions!M64</f>
        <v>250</v>
      </c>
      <c r="O172" s="444">
        <f>Assumptions!N64</f>
        <v>300</v>
      </c>
    </row>
    <row r="173" spans="1:18" x14ac:dyDescent="0.25">
      <c r="C173" t="s">
        <v>174</v>
      </c>
      <c r="G173" s="268"/>
      <c r="H173" s="395">
        <f>-97.8</f>
        <v>-97.8</v>
      </c>
      <c r="I173" s="395">
        <v>732.7</v>
      </c>
      <c r="J173" s="395">
        <v>-103.2</v>
      </c>
      <c r="K173" s="444">
        <f>Assumptions!J88</f>
        <v>0</v>
      </c>
      <c r="L173" s="433">
        <f>Assumptions!K88</f>
        <v>0</v>
      </c>
      <c r="M173" s="433">
        <f>Assumptions!L88</f>
        <v>0</v>
      </c>
      <c r="N173" s="433">
        <f>Assumptions!M88</f>
        <v>0</v>
      </c>
      <c r="O173" s="433">
        <f>Assumptions!N88</f>
        <v>0</v>
      </c>
    </row>
    <row r="174" spans="1:18" x14ac:dyDescent="0.25">
      <c r="C174" t="s">
        <v>84</v>
      </c>
      <c r="G174" s="268"/>
      <c r="H174" s="395">
        <f>1868.1</f>
        <v>1868.1</v>
      </c>
      <c r="I174" s="395">
        <v>1870.6</v>
      </c>
      <c r="J174" s="395">
        <v>1978.2</v>
      </c>
      <c r="K174" s="397">
        <f>K277+K302+K137</f>
        <v>1952.35</v>
      </c>
      <c r="L174" s="397">
        <f>L277+L302+L137</f>
        <v>2017.9749999999999</v>
      </c>
      <c r="M174" s="397">
        <f>M277+M302+M137</f>
        <v>2090.1624999999999</v>
      </c>
      <c r="N174" s="397">
        <f>N277+N302+N137</f>
        <v>2169.5687499999999</v>
      </c>
      <c r="O174" s="397">
        <f>O277+O302+O137</f>
        <v>2256.9156250000001</v>
      </c>
      <c r="Q174" s="379"/>
    </row>
    <row r="175" spans="1:18" x14ac:dyDescent="0.25">
      <c r="C175" t="s">
        <v>77</v>
      </c>
      <c r="G175" s="270"/>
      <c r="H175" s="395">
        <v>-428.3</v>
      </c>
      <c r="I175" s="395">
        <v>-345.7</v>
      </c>
      <c r="J175" s="395">
        <v>-686.4</v>
      </c>
      <c r="K175" s="397">
        <f>K146</f>
        <v>-449.99999999999977</v>
      </c>
      <c r="L175" s="397">
        <f>L146</f>
        <v>-450</v>
      </c>
      <c r="M175" s="397">
        <f>M146</f>
        <v>-449.99999999999977</v>
      </c>
      <c r="N175" s="397">
        <f>N146</f>
        <v>-450.00000000000023</v>
      </c>
      <c r="O175" s="397">
        <f>O146</f>
        <v>-450</v>
      </c>
    </row>
    <row r="176" spans="1:18" x14ac:dyDescent="0.25">
      <c r="C176" t="s">
        <v>85</v>
      </c>
      <c r="G176" s="271"/>
      <c r="H176" s="515">
        <f>309.9-62.2+225-302.5+284</f>
        <v>454.2</v>
      </c>
      <c r="I176" s="515">
        <f>-264.1+5.6+31.3-546.7+129.3</f>
        <v>-644.60000000000014</v>
      </c>
      <c r="J176" s="515">
        <f>-161+16.7+50.4-220.3+206.2</f>
        <v>-108.00000000000006</v>
      </c>
      <c r="K176" s="516">
        <f>K364</f>
        <v>-947.37368501413539</v>
      </c>
      <c r="L176" s="383">
        <f>L364</f>
        <v>124.75620472000946</v>
      </c>
      <c r="M176" s="383">
        <f>M364</f>
        <v>122.90771338676404</v>
      </c>
      <c r="N176" s="383">
        <f>N364</f>
        <v>128.43856048916996</v>
      </c>
      <c r="O176" s="383">
        <f>O364</f>
        <v>125.70232005737353</v>
      </c>
      <c r="Q176" s="379"/>
      <c r="R176" s="379"/>
    </row>
    <row r="177" spans="1:18" x14ac:dyDescent="0.25">
      <c r="C177" t="s">
        <v>33</v>
      </c>
      <c r="G177" s="271"/>
      <c r="H177" s="398">
        <v>-339.1</v>
      </c>
      <c r="I177" s="398">
        <v>-570.4</v>
      </c>
      <c r="J177" s="398">
        <v>-112.7</v>
      </c>
      <c r="K177" s="388"/>
      <c r="L177" s="385"/>
      <c r="M177" s="385"/>
      <c r="N177" s="385"/>
      <c r="O177" s="385"/>
      <c r="Q177" s="379"/>
      <c r="R177" s="379"/>
    </row>
    <row r="178" spans="1:18" x14ac:dyDescent="0.25">
      <c r="C178" s="193" t="s">
        <v>86</v>
      </c>
      <c r="G178" s="229"/>
      <c r="H178" s="399">
        <f>SUM(H171:H177)</f>
        <v>9141.4999999999982</v>
      </c>
      <c r="I178" s="399">
        <f>SUM(I171:I177)</f>
        <v>7386.6999999999989</v>
      </c>
      <c r="J178" s="399">
        <f>SUM(J171:J177)</f>
        <v>9611.899999999996</v>
      </c>
      <c r="K178" s="438">
        <f t="shared" ref="K178:O178" si="51">SUM(K171:K176)</f>
        <v>8780.3239204858637</v>
      </c>
      <c r="L178" s="399">
        <f>SUM(L171:L176)</f>
        <v>10433.628063470151</v>
      </c>
      <c r="M178" s="399">
        <f>SUM(M171:M176)</f>
        <v>11091.775397049871</v>
      </c>
      <c r="N178" s="399">
        <f t="shared" si="51"/>
        <v>11801.465580667093</v>
      </c>
      <c r="O178" s="399">
        <f t="shared" si="51"/>
        <v>12565.516095101002</v>
      </c>
    </row>
    <row r="179" spans="1:18" x14ac:dyDescent="0.25">
      <c r="B179" s="196"/>
      <c r="G179" s="235"/>
      <c r="H179" s="272"/>
      <c r="I179" s="272"/>
      <c r="J179" s="272"/>
      <c r="K179" s="439"/>
      <c r="L179" s="272"/>
      <c r="M179" s="272"/>
      <c r="N179" s="272"/>
      <c r="O179" s="272"/>
      <c r="Q179" s="366"/>
    </row>
    <row r="180" spans="1:18" x14ac:dyDescent="0.25">
      <c r="B180" s="196"/>
      <c r="G180" s="235"/>
      <c r="H180" s="272"/>
      <c r="I180" s="272"/>
      <c r="J180" s="272"/>
      <c r="K180" s="439"/>
      <c r="L180" s="272"/>
      <c r="M180" s="272"/>
      <c r="N180" s="272"/>
      <c r="O180" s="272"/>
    </row>
    <row r="181" spans="1:18" x14ac:dyDescent="0.25">
      <c r="B181" s="191" t="s">
        <v>87</v>
      </c>
      <c r="G181" s="273"/>
      <c r="H181" s="274"/>
      <c r="I181" s="274"/>
      <c r="J181" s="274"/>
      <c r="K181" s="270"/>
      <c r="L181" s="270"/>
      <c r="M181" s="270"/>
      <c r="N181" s="270"/>
      <c r="O181" s="270"/>
    </row>
    <row r="182" spans="1:18" x14ac:dyDescent="0.25">
      <c r="C182" t="s">
        <v>88</v>
      </c>
      <c r="F182" s="185"/>
      <c r="H182" s="400">
        <v>-2040</v>
      </c>
      <c r="I182" s="400">
        <v>-1899.2</v>
      </c>
      <c r="J182" s="400">
        <v>-2357.4</v>
      </c>
      <c r="K182" s="440">
        <f>-Assumptions!J67</f>
        <v>-2500</v>
      </c>
      <c r="L182" s="401">
        <f>-Assumptions!K67</f>
        <v>-2750</v>
      </c>
      <c r="M182" s="401">
        <f>-Assumptions!L67</f>
        <v>-3025.0000000000005</v>
      </c>
      <c r="N182" s="401">
        <f>-Assumptions!M67</f>
        <v>-3327.5000000000009</v>
      </c>
      <c r="O182" s="401">
        <f>-Assumptions!N67</f>
        <v>-3660.2500000000014</v>
      </c>
    </row>
    <row r="183" spans="1:18" x14ac:dyDescent="0.25">
      <c r="C183" t="s">
        <v>175</v>
      </c>
      <c r="F183" s="185"/>
      <c r="H183" s="400">
        <f>-374.2</f>
        <v>-374.2</v>
      </c>
      <c r="I183" s="400">
        <v>-807</v>
      </c>
      <c r="J183" s="400">
        <v>-441.2</v>
      </c>
      <c r="K183" s="440">
        <f>-Assumptions!J61-K388</f>
        <v>-600</v>
      </c>
      <c r="L183" s="401">
        <f>-Assumptions!K61-L388</f>
        <v>-600</v>
      </c>
      <c r="M183" s="401">
        <f>-Assumptions!L61-M388</f>
        <v>-600</v>
      </c>
      <c r="N183" s="401">
        <f>-Assumptions!M61-N388</f>
        <v>-600</v>
      </c>
      <c r="O183" s="401">
        <f>-Assumptions!N61-O388</f>
        <v>-600</v>
      </c>
    </row>
    <row r="184" spans="1:18" x14ac:dyDescent="0.25">
      <c r="C184" t="s">
        <v>176</v>
      </c>
      <c r="F184" s="185"/>
      <c r="H184" s="400">
        <f>196.2+106.2</f>
        <v>302.39999999999998</v>
      </c>
      <c r="I184" s="400">
        <f>445.9+38.9</f>
        <v>484.79999999999995</v>
      </c>
      <c r="J184" s="400">
        <f>195.3+94.9</f>
        <v>290.20000000000005</v>
      </c>
      <c r="K184" s="440">
        <f>Assumptions!J62</f>
        <v>400</v>
      </c>
      <c r="L184" s="401">
        <f>Assumptions!K62</f>
        <v>400</v>
      </c>
      <c r="M184" s="401">
        <f>Assumptions!L62</f>
        <v>400</v>
      </c>
      <c r="N184" s="401">
        <f>Assumptions!M62</f>
        <v>400</v>
      </c>
      <c r="O184" s="401">
        <f>Assumptions!N62</f>
        <v>400</v>
      </c>
    </row>
    <row r="185" spans="1:18" x14ac:dyDescent="0.25">
      <c r="C185" t="s">
        <v>33</v>
      </c>
      <c r="F185" s="185"/>
      <c r="H185" s="384">
        <v>-53.9</v>
      </c>
      <c r="I185" s="384">
        <v>-456.7</v>
      </c>
      <c r="J185" s="384">
        <v>-676.1</v>
      </c>
      <c r="K185" s="381">
        <f>-Assumptions!J63</f>
        <v>-500</v>
      </c>
      <c r="L185" s="381">
        <f>-Assumptions!K63</f>
        <v>-500</v>
      </c>
      <c r="M185" s="381">
        <f>-Assumptions!L63</f>
        <v>-500</v>
      </c>
      <c r="N185" s="381">
        <f>-Assumptions!M63</f>
        <v>-500</v>
      </c>
      <c r="O185" s="381">
        <f>-Assumptions!N63</f>
        <v>-500</v>
      </c>
    </row>
    <row r="186" spans="1:18" x14ac:dyDescent="0.25">
      <c r="A186" s="191"/>
      <c r="C186" s="191" t="s">
        <v>89</v>
      </c>
      <c r="G186" s="229"/>
      <c r="H186" s="402">
        <f t="shared" ref="H186:O186" si="52">SUM(H182:H185)</f>
        <v>-2165.6999999999998</v>
      </c>
      <c r="I186" s="402">
        <f t="shared" si="52"/>
        <v>-2678.0999999999995</v>
      </c>
      <c r="J186" s="402">
        <f t="shared" si="52"/>
        <v>-3184.4999999999995</v>
      </c>
      <c r="K186" s="441">
        <f t="shared" si="52"/>
        <v>-3200</v>
      </c>
      <c r="L186" s="402">
        <f t="shared" si="52"/>
        <v>-3450</v>
      </c>
      <c r="M186" s="402">
        <f t="shared" si="52"/>
        <v>-3725.0000000000005</v>
      </c>
      <c r="N186" s="402">
        <f t="shared" si="52"/>
        <v>-4027.5000000000009</v>
      </c>
      <c r="O186" s="402">
        <f t="shared" si="52"/>
        <v>-4360.2500000000018</v>
      </c>
    </row>
    <row r="187" spans="1:18" x14ac:dyDescent="0.25">
      <c r="A187" s="191"/>
      <c r="B187" s="198"/>
      <c r="G187" s="229"/>
      <c r="H187" s="275"/>
      <c r="I187" s="275"/>
      <c r="J187" s="276"/>
      <c r="K187" s="442"/>
      <c r="L187" s="277"/>
      <c r="M187" s="277"/>
      <c r="N187" s="277"/>
      <c r="O187" s="277"/>
    </row>
    <row r="188" spans="1:18" x14ac:dyDescent="0.25">
      <c r="A188" s="191"/>
      <c r="B188" s="198"/>
      <c r="G188" s="229"/>
      <c r="H188" s="275"/>
      <c r="I188" s="275"/>
      <c r="J188" s="275"/>
      <c r="K188" s="442"/>
      <c r="L188" s="277"/>
      <c r="M188" s="277"/>
      <c r="N188" s="277"/>
      <c r="O188" s="277"/>
    </row>
    <row r="189" spans="1:18" x14ac:dyDescent="0.25">
      <c r="A189" s="191"/>
      <c r="B189" s="198" t="s">
        <v>90</v>
      </c>
      <c r="G189" s="229"/>
      <c r="H189" s="278"/>
      <c r="I189" s="278"/>
      <c r="J189" s="278"/>
      <c r="K189" s="443"/>
      <c r="L189" s="279"/>
      <c r="M189" s="279"/>
      <c r="N189" s="279"/>
      <c r="O189" s="279"/>
    </row>
    <row r="190" spans="1:18" x14ac:dyDescent="0.25">
      <c r="A190" s="191"/>
      <c r="B190" s="198"/>
      <c r="C190" t="s">
        <v>91</v>
      </c>
      <c r="G190" s="229"/>
      <c r="H190" s="403"/>
      <c r="I190" s="403"/>
      <c r="J190" s="403"/>
      <c r="K190" s="397">
        <f>K404</f>
        <v>0</v>
      </c>
      <c r="L190" s="396">
        <f>L404</f>
        <v>0</v>
      </c>
      <c r="M190" s="396">
        <f>M404</f>
        <v>0</v>
      </c>
      <c r="N190" s="396">
        <f>N404</f>
        <v>0</v>
      </c>
      <c r="O190" s="396">
        <f>O404</f>
        <v>0</v>
      </c>
    </row>
    <row r="191" spans="1:18" x14ac:dyDescent="0.25">
      <c r="A191" s="191"/>
      <c r="B191" s="198"/>
      <c r="C191" t="s">
        <v>92</v>
      </c>
      <c r="G191" s="229"/>
      <c r="H191" s="403">
        <f>15.1+1154.4-2240</f>
        <v>-1070.5</v>
      </c>
      <c r="I191" s="403">
        <f>25.5+3374.5-2202.4</f>
        <v>1197.5999999999999</v>
      </c>
      <c r="J191" s="403">
        <f>212.8+5221.1-2441.1</f>
        <v>2992.8000000000006</v>
      </c>
      <c r="K191" s="397">
        <f>K412</f>
        <v>1000</v>
      </c>
      <c r="L191" s="396">
        <f>L412</f>
        <v>500</v>
      </c>
      <c r="M191" s="396">
        <f>M412</f>
        <v>0</v>
      </c>
      <c r="N191" s="396">
        <f>N412</f>
        <v>0</v>
      </c>
      <c r="O191" s="396">
        <f>O412</f>
        <v>1000</v>
      </c>
    </row>
    <row r="192" spans="1:18" x14ac:dyDescent="0.25">
      <c r="A192" s="191"/>
      <c r="B192" s="198"/>
      <c r="C192" t="s">
        <v>93</v>
      </c>
      <c r="G192" s="229"/>
      <c r="H192" s="403">
        <f>-845.5</f>
        <v>-845.5</v>
      </c>
      <c r="I192" s="403">
        <f>-3896</f>
        <v>-3896</v>
      </c>
      <c r="J192" s="403">
        <f>-3054.3</f>
        <v>-3054.3</v>
      </c>
      <c r="K192" s="397">
        <f>K434</f>
        <v>-3000</v>
      </c>
      <c r="L192" s="396">
        <f t="shared" ref="L192:O192" si="53">L434</f>
        <v>-3000</v>
      </c>
      <c r="M192" s="396">
        <f t="shared" si="53"/>
        <v>-3000</v>
      </c>
      <c r="N192" s="396">
        <f t="shared" si="53"/>
        <v>-3000</v>
      </c>
      <c r="O192" s="396">
        <f t="shared" si="53"/>
        <v>-3000</v>
      </c>
    </row>
    <row r="193" spans="1:17" x14ac:dyDescent="0.25">
      <c r="A193" s="191"/>
      <c r="B193" s="198"/>
      <c r="C193" t="s">
        <v>94</v>
      </c>
      <c r="G193" s="229"/>
      <c r="H193" s="403">
        <v>-3918.6</v>
      </c>
      <c r="I193" s="403">
        <v>-4168.2</v>
      </c>
      <c r="J193" s="403">
        <v>-4532.8</v>
      </c>
      <c r="K193" s="397">
        <f>-K452</f>
        <v>-4022.67380275</v>
      </c>
      <c r="L193" s="396">
        <f>-L452</f>
        <v>-4270.4484293750702</v>
      </c>
      <c r="M193" s="396">
        <f>-M452</f>
        <v>-4551.8525918315536</v>
      </c>
      <c r="N193" s="396">
        <f>-N452</f>
        <v>-4851.7291350889609</v>
      </c>
      <c r="O193" s="396">
        <f>-O452</f>
        <v>-5166.4490750218147</v>
      </c>
    </row>
    <row r="194" spans="1:17" x14ac:dyDescent="0.25">
      <c r="A194" s="191"/>
      <c r="B194" s="198"/>
      <c r="C194" t="s">
        <v>33</v>
      </c>
      <c r="G194" s="229"/>
      <c r="H194" s="403">
        <f>285.7-46.7-120.1</f>
        <v>118.9</v>
      </c>
      <c r="I194" s="403">
        <f>248.2+38.2-253.8</f>
        <v>32.599999999999966</v>
      </c>
      <c r="J194" s="403">
        <f>259.8-39.6-57.8</f>
        <v>162.40000000000003</v>
      </c>
      <c r="K194" s="444"/>
      <c r="L194" s="433"/>
      <c r="M194" s="433"/>
      <c r="N194" s="433"/>
      <c r="O194" s="433"/>
    </row>
    <row r="195" spans="1:17" x14ac:dyDescent="0.25">
      <c r="A195" s="191"/>
      <c r="B195" s="198"/>
      <c r="C195" s="191" t="s">
        <v>95</v>
      </c>
      <c r="G195" s="229"/>
      <c r="H195" s="402">
        <f t="shared" ref="H195:O195" si="54">SUM(H190:H194)</f>
        <v>-5715.7000000000007</v>
      </c>
      <c r="I195" s="402">
        <f t="shared" si="54"/>
        <v>-6834</v>
      </c>
      <c r="J195" s="402">
        <f t="shared" si="54"/>
        <v>-4431.8999999999996</v>
      </c>
      <c r="K195" s="402">
        <f t="shared" si="54"/>
        <v>-6022.6738027499996</v>
      </c>
      <c r="L195" s="402">
        <f t="shared" si="54"/>
        <v>-6770.4484293750702</v>
      </c>
      <c r="M195" s="402">
        <f t="shared" si="54"/>
        <v>-7551.8525918315536</v>
      </c>
      <c r="N195" s="402">
        <f t="shared" si="54"/>
        <v>-7851.7291350889609</v>
      </c>
      <c r="O195" s="402">
        <f t="shared" si="54"/>
        <v>-7166.4490750218147</v>
      </c>
    </row>
    <row r="196" spans="1:17" x14ac:dyDescent="0.25">
      <c r="A196" s="191"/>
      <c r="B196" s="198"/>
      <c r="G196" s="229"/>
      <c r="H196" s="278"/>
      <c r="I196" s="278"/>
      <c r="J196" s="278"/>
      <c r="K196" s="278"/>
      <c r="L196" s="278"/>
      <c r="M196" s="278"/>
      <c r="N196" s="278"/>
      <c r="O196" s="278"/>
    </row>
    <row r="197" spans="1:17" x14ac:dyDescent="0.25">
      <c r="A197" s="191"/>
      <c r="C197" s="193"/>
      <c r="G197" s="229"/>
      <c r="H197" s="622"/>
      <c r="I197" s="622"/>
      <c r="J197" s="622"/>
      <c r="K197" s="278"/>
      <c r="L197" s="278"/>
      <c r="M197" s="278"/>
      <c r="N197" s="278"/>
      <c r="O197" s="278"/>
    </row>
    <row r="198" spans="1:17" x14ac:dyDescent="0.25">
      <c r="A198" s="191"/>
    </row>
    <row r="199" spans="1:17" x14ac:dyDescent="0.25">
      <c r="A199" s="191"/>
      <c r="B199" s="248" t="s">
        <v>97</v>
      </c>
      <c r="C199" s="280"/>
      <c r="D199" s="248"/>
      <c r="E199" s="248"/>
      <c r="F199" s="248"/>
      <c r="G199" s="281"/>
      <c r="H199" s="406">
        <v>3449.1</v>
      </c>
      <c r="I199" s="405">
        <f t="shared" ref="I199:O199" si="55">+H201</f>
        <v>4709.1999999999971</v>
      </c>
      <c r="J199" s="405">
        <f t="shared" si="55"/>
        <v>2583.7999999999975</v>
      </c>
      <c r="K199" s="405">
        <f t="shared" si="55"/>
        <v>4579.2999999999938</v>
      </c>
      <c r="L199" s="405">
        <f t="shared" si="55"/>
        <v>4136.9501177358579</v>
      </c>
      <c r="M199" s="405">
        <f t="shared" si="55"/>
        <v>4350.1297518309384</v>
      </c>
      <c r="N199" s="405">
        <f t="shared" si="55"/>
        <v>4165.0525570492555</v>
      </c>
      <c r="O199" s="405">
        <f t="shared" si="55"/>
        <v>4087.2890026273872</v>
      </c>
    </row>
    <row r="200" spans="1:17" x14ac:dyDescent="0.25">
      <c r="A200" s="191"/>
      <c r="B200" t="s">
        <v>96</v>
      </c>
      <c r="C200" s="193"/>
      <c r="G200" s="229"/>
      <c r="H200" s="383">
        <f t="shared" ref="H200:O200" si="56">H195+H186+H178</f>
        <v>1260.0999999999976</v>
      </c>
      <c r="I200" s="383">
        <f t="shared" si="56"/>
        <v>-2125.3999999999996</v>
      </c>
      <c r="J200" s="383">
        <f t="shared" si="56"/>
        <v>1995.4999999999964</v>
      </c>
      <c r="K200" s="383">
        <f t="shared" si="56"/>
        <v>-442.34988226413589</v>
      </c>
      <c r="L200" s="383">
        <f t="shared" si="56"/>
        <v>213.17963409508047</v>
      </c>
      <c r="M200" s="383">
        <f t="shared" si="56"/>
        <v>-185.07719478168292</v>
      </c>
      <c r="N200" s="383">
        <f t="shared" si="56"/>
        <v>-77.763554421868321</v>
      </c>
      <c r="O200" s="383">
        <f t="shared" si="56"/>
        <v>1038.8170200791847</v>
      </c>
    </row>
    <row r="201" spans="1:17" x14ac:dyDescent="0.25">
      <c r="A201" s="191"/>
      <c r="B201" s="404" t="s">
        <v>98</v>
      </c>
      <c r="C201" s="231"/>
      <c r="D201" s="212"/>
      <c r="E201" s="212"/>
      <c r="F201" s="212"/>
      <c r="G201" s="234"/>
      <c r="H201" s="385">
        <f t="shared" ref="H201:O201" si="57">H199+H200</f>
        <v>4709.1999999999971</v>
      </c>
      <c r="I201" s="385">
        <f t="shared" si="57"/>
        <v>2583.7999999999975</v>
      </c>
      <c r="J201" s="385">
        <f t="shared" si="57"/>
        <v>4579.2999999999938</v>
      </c>
      <c r="K201" s="385">
        <f>K199+K200</f>
        <v>4136.9501177358579</v>
      </c>
      <c r="L201" s="385">
        <f t="shared" si="57"/>
        <v>4350.1297518309384</v>
      </c>
      <c r="M201" s="385">
        <f t="shared" si="57"/>
        <v>4165.0525570492555</v>
      </c>
      <c r="N201" s="385">
        <f t="shared" si="57"/>
        <v>4087.2890026273872</v>
      </c>
      <c r="O201" s="385">
        <f t="shared" si="57"/>
        <v>5126.1060227065718</v>
      </c>
    </row>
    <row r="202" spans="1:17" x14ac:dyDescent="0.25">
      <c r="B202" s="212"/>
      <c r="C202" s="212"/>
      <c r="D202" s="212"/>
      <c r="E202" s="212"/>
      <c r="F202" s="212"/>
      <c r="G202" s="212"/>
      <c r="H202" s="212"/>
      <c r="I202" s="212"/>
      <c r="J202" s="212"/>
      <c r="K202" s="212"/>
      <c r="L202" s="212"/>
      <c r="M202" s="212"/>
      <c r="N202" s="212"/>
      <c r="O202" s="212"/>
      <c r="Q202" s="379"/>
    </row>
    <row r="204" spans="1:17" ht="12.75" customHeight="1" x14ac:dyDescent="0.35">
      <c r="A204" s="176"/>
      <c r="B204" s="177"/>
      <c r="C204" s="173"/>
      <c r="D204" s="173"/>
      <c r="E204" s="173"/>
      <c r="F204" s="174"/>
      <c r="G204" s="173"/>
      <c r="H204" s="173"/>
      <c r="I204" s="173"/>
      <c r="J204" s="173"/>
      <c r="K204" s="173"/>
      <c r="L204" s="173"/>
      <c r="M204" s="173"/>
      <c r="N204" s="173"/>
      <c r="O204" s="214" t="str">
        <f>$O$1</f>
        <v>CURRENTLY RUNNING: BASE CASE SCENARIO</v>
      </c>
    </row>
    <row r="205" spans="1:17" ht="23.25" x14ac:dyDescent="0.35">
      <c r="B205" s="177" t="str">
        <f>B$2</f>
        <v>McDonald's Corporation</v>
      </c>
      <c r="C205" s="173"/>
      <c r="D205" s="173"/>
      <c r="E205" s="173"/>
      <c r="F205" s="173"/>
      <c r="G205" s="173"/>
      <c r="H205" s="173"/>
      <c r="I205" s="173"/>
      <c r="J205" s="173"/>
      <c r="K205" s="173"/>
      <c r="L205" s="173"/>
      <c r="M205" s="173"/>
      <c r="N205" s="173"/>
      <c r="O205" s="173"/>
    </row>
    <row r="206" spans="1:17" ht="18" x14ac:dyDescent="0.25">
      <c r="B206" s="179" t="s">
        <v>99</v>
      </c>
      <c r="C206" s="173"/>
      <c r="D206" s="173"/>
      <c r="E206" s="173"/>
      <c r="F206" s="173"/>
      <c r="G206" s="173"/>
      <c r="H206" s="173"/>
      <c r="I206" s="173"/>
      <c r="J206" s="173"/>
      <c r="K206" s="173"/>
      <c r="L206" s="173"/>
      <c r="M206" s="173"/>
      <c r="N206" s="173"/>
      <c r="O206" s="173"/>
    </row>
    <row r="207" spans="1:17" ht="3" customHeight="1" thickBot="1" x14ac:dyDescent="0.35">
      <c r="A207" s="178"/>
      <c r="B207" s="182"/>
      <c r="C207" s="183"/>
      <c r="D207" s="183"/>
      <c r="E207" s="183"/>
      <c r="F207" s="184"/>
      <c r="G207" s="183"/>
      <c r="H207" s="183"/>
      <c r="I207" s="183"/>
      <c r="J207" s="183"/>
      <c r="K207" s="183"/>
      <c r="L207" s="183"/>
      <c r="M207" s="183"/>
      <c r="N207" s="183"/>
      <c r="O207" s="183"/>
    </row>
    <row r="208" spans="1:17" x14ac:dyDescent="0.25">
      <c r="B208" s="236" t="str">
        <f>$B$167</f>
        <v>($ Millions)</v>
      </c>
      <c r="O208" s="197"/>
    </row>
    <row r="209" spans="2:23" x14ac:dyDescent="0.25">
      <c r="H209" s="282"/>
      <c r="I209" s="282"/>
      <c r="J209" s="282"/>
      <c r="K209" s="187" t="s">
        <v>2</v>
      </c>
      <c r="L209" s="188"/>
      <c r="M209" s="188"/>
      <c r="N209" s="188"/>
      <c r="O209" s="188"/>
    </row>
    <row r="210" spans="2:23" x14ac:dyDescent="0.25">
      <c r="B210" s="283"/>
      <c r="F210" s="284"/>
      <c r="G210" s="266"/>
      <c r="H210" s="190">
        <f t="shared" ref="H210:J210" si="58">H$7</f>
        <v>2021</v>
      </c>
      <c r="I210" s="190">
        <f t="shared" si="58"/>
        <v>2022</v>
      </c>
      <c r="J210" s="190">
        <f t="shared" si="58"/>
        <v>2023</v>
      </c>
      <c r="K210" s="267">
        <f>K$7</f>
        <v>2024</v>
      </c>
      <c r="L210" s="267">
        <f>L$7</f>
        <v>2025</v>
      </c>
      <c r="M210" s="267">
        <f>M$7</f>
        <v>2026</v>
      </c>
      <c r="N210" s="267">
        <f>N$7</f>
        <v>2027</v>
      </c>
      <c r="O210" s="267">
        <f>O$7</f>
        <v>2028</v>
      </c>
    </row>
    <row r="211" spans="2:23" ht="5.0999999999999996" customHeight="1" x14ac:dyDescent="0.25">
      <c r="B211" s="283"/>
      <c r="G211" s="266"/>
      <c r="H211" s="284"/>
      <c r="I211" s="284"/>
      <c r="J211" s="284"/>
      <c r="K211" s="284"/>
      <c r="L211" s="284"/>
      <c r="M211" s="284"/>
      <c r="N211" s="284"/>
      <c r="O211" s="284"/>
    </row>
    <row r="212" spans="2:23" x14ac:dyDescent="0.25">
      <c r="B212" s="191" t="s">
        <v>100</v>
      </c>
      <c r="S212" s="379"/>
      <c r="T212" s="379"/>
      <c r="V212" s="379"/>
      <c r="W212" s="379"/>
    </row>
    <row r="213" spans="2:23" x14ac:dyDescent="0.25">
      <c r="C213" t="s">
        <v>101</v>
      </c>
      <c r="F213" s="194"/>
      <c r="G213" s="271"/>
      <c r="H213" s="400"/>
      <c r="I213" s="400">
        <v>2583.8000000000002</v>
      </c>
      <c r="J213" s="400">
        <v>4579.3</v>
      </c>
      <c r="K213" s="396">
        <f>K201</f>
        <v>4136.9501177358579</v>
      </c>
      <c r="L213" s="396">
        <f>L201</f>
        <v>4350.1297518309384</v>
      </c>
      <c r="M213" s="396">
        <f>M201</f>
        <v>4165.0525570492555</v>
      </c>
      <c r="N213" s="396">
        <f>N201</f>
        <v>4087.2890026273872</v>
      </c>
      <c r="O213" s="396">
        <f>O201</f>
        <v>5126.1060227065718</v>
      </c>
      <c r="P213" s="379"/>
      <c r="R213" s="242"/>
      <c r="S213" s="379"/>
      <c r="T213" s="379"/>
      <c r="U213" s="314"/>
      <c r="V213" s="379"/>
      <c r="W213" s="379"/>
    </row>
    <row r="214" spans="2:23" x14ac:dyDescent="0.25">
      <c r="C214" t="s">
        <v>199</v>
      </c>
      <c r="F214" s="194"/>
      <c r="G214" s="271"/>
      <c r="H214" s="400"/>
      <c r="I214" s="400"/>
      <c r="J214" s="400"/>
      <c r="K214" s="396">
        <f>K389</f>
        <v>0</v>
      </c>
      <c r="L214" s="396">
        <f t="shared" ref="L214:O214" si="59">L389</f>
        <v>0</v>
      </c>
      <c r="M214" s="396">
        <f t="shared" si="59"/>
        <v>0</v>
      </c>
      <c r="N214" s="396">
        <f t="shared" si="59"/>
        <v>0</v>
      </c>
      <c r="O214" s="396">
        <f t="shared" si="59"/>
        <v>0</v>
      </c>
      <c r="P214" s="379"/>
      <c r="R214" s="242"/>
      <c r="S214" s="379"/>
      <c r="T214" s="379"/>
      <c r="U214" s="314"/>
      <c r="V214" s="379"/>
      <c r="W214" s="379"/>
    </row>
    <row r="215" spans="2:23" x14ac:dyDescent="0.25">
      <c r="C215" t="s">
        <v>48</v>
      </c>
      <c r="F215" s="194"/>
      <c r="G215" s="271"/>
      <c r="H215" s="400"/>
      <c r="I215" s="400">
        <f>2115</f>
        <v>2115</v>
      </c>
      <c r="J215" s="400">
        <f>2488</f>
        <v>2488</v>
      </c>
      <c r="K215" s="397">
        <f t="shared" ref="K215:O217" si="60">K354</f>
        <v>2502.5586014998485</v>
      </c>
      <c r="L215" s="396">
        <f t="shared" si="60"/>
        <v>2622.3385981250599</v>
      </c>
      <c r="M215" s="396">
        <f t="shared" si="60"/>
        <v>2740.3438350406873</v>
      </c>
      <c r="N215" s="396">
        <f t="shared" si="60"/>
        <v>2863.6593076175182</v>
      </c>
      <c r="O215" s="396">
        <f t="shared" si="60"/>
        <v>2984.3476814426554</v>
      </c>
      <c r="P215" s="379"/>
      <c r="Q215" s="379"/>
      <c r="S215" s="379"/>
      <c r="T215" s="379"/>
      <c r="V215" s="379"/>
      <c r="W215" s="379"/>
    </row>
    <row r="216" spans="2:23" x14ac:dyDescent="0.25">
      <c r="C216" t="s">
        <v>102</v>
      </c>
      <c r="F216" s="194"/>
      <c r="G216" s="271"/>
      <c r="H216" s="400"/>
      <c r="I216" s="400">
        <f>52</f>
        <v>52</v>
      </c>
      <c r="J216" s="400">
        <f>52.8</f>
        <v>52.8</v>
      </c>
      <c r="K216" s="397">
        <f t="shared" si="60"/>
        <v>58.920725486675359</v>
      </c>
      <c r="L216" s="396">
        <f t="shared" si="60"/>
        <v>61.740848977777333</v>
      </c>
      <c r="M216" s="396">
        <f t="shared" si="60"/>
        <v>64.519187181777298</v>
      </c>
      <c r="N216" s="396">
        <f t="shared" si="60"/>
        <v>67.42255060495728</v>
      </c>
      <c r="O216" s="396">
        <f t="shared" si="60"/>
        <v>70.264061105179849</v>
      </c>
      <c r="P216" s="379"/>
      <c r="S216" s="379"/>
      <c r="V216" s="379"/>
      <c r="W216" s="379"/>
    </row>
    <row r="217" spans="2:23" x14ac:dyDescent="0.25">
      <c r="C217" t="s">
        <v>51</v>
      </c>
      <c r="F217" s="194"/>
      <c r="G217" s="285"/>
      <c r="H217" s="400"/>
      <c r="I217" s="400">
        <f>673.4</f>
        <v>673.4</v>
      </c>
      <c r="J217" s="400">
        <f>866.3</f>
        <v>866.3</v>
      </c>
      <c r="K217" s="397">
        <f t="shared" si="60"/>
        <v>860.99344844725465</v>
      </c>
      <c r="L217" s="396">
        <f t="shared" si="60"/>
        <v>902.20318966471643</v>
      </c>
      <c r="M217" s="396">
        <f t="shared" si="60"/>
        <v>942.80233319962849</v>
      </c>
      <c r="N217" s="396">
        <f t="shared" si="60"/>
        <v>985.22843819361185</v>
      </c>
      <c r="O217" s="396">
        <f t="shared" si="60"/>
        <v>1026.7507022896127</v>
      </c>
      <c r="P217" s="379"/>
      <c r="S217" s="379"/>
      <c r="U217" s="379"/>
      <c r="V217" s="379"/>
      <c r="W217" s="379"/>
    </row>
    <row r="218" spans="2:23" hidden="1" x14ac:dyDescent="0.25">
      <c r="C218" t="s">
        <v>269</v>
      </c>
      <c r="F218" s="194"/>
      <c r="G218" s="285"/>
      <c r="H218" s="400"/>
      <c r="I218" s="400"/>
      <c r="J218" s="400"/>
      <c r="K218" s="397">
        <f>J218</f>
        <v>0</v>
      </c>
      <c r="L218" s="397">
        <f t="shared" ref="L218:O218" si="61">K218</f>
        <v>0</v>
      </c>
      <c r="M218" s="397">
        <f t="shared" si="61"/>
        <v>0</v>
      </c>
      <c r="N218" s="397">
        <f t="shared" si="61"/>
        <v>0</v>
      </c>
      <c r="O218" s="397">
        <f t="shared" si="61"/>
        <v>0</v>
      </c>
      <c r="P218" s="379"/>
      <c r="S218" s="379"/>
      <c r="U218" s="379"/>
      <c r="V218" s="379"/>
      <c r="W218" s="379"/>
    </row>
    <row r="219" spans="2:23" hidden="1" x14ac:dyDescent="0.25">
      <c r="C219" s="197" t="s">
        <v>33</v>
      </c>
      <c r="F219" s="194"/>
      <c r="G219" s="285"/>
      <c r="H219" s="400"/>
      <c r="I219" s="400"/>
      <c r="J219" s="400"/>
      <c r="K219" s="397">
        <f t="shared" ref="K219:O219" si="62">K357</f>
        <v>0</v>
      </c>
      <c r="L219" s="396">
        <f t="shared" si="62"/>
        <v>0</v>
      </c>
      <c r="M219" s="396">
        <f t="shared" si="62"/>
        <v>0</v>
      </c>
      <c r="N219" s="396">
        <f t="shared" si="62"/>
        <v>0</v>
      </c>
      <c r="O219" s="396">
        <f t="shared" si="62"/>
        <v>0</v>
      </c>
      <c r="P219" s="379"/>
      <c r="S219" s="379"/>
      <c r="V219" s="379"/>
      <c r="W219" s="379"/>
    </row>
    <row r="220" spans="2:23" x14ac:dyDescent="0.25">
      <c r="C220" s="193" t="s">
        <v>103</v>
      </c>
      <c r="F220" s="207"/>
      <c r="G220" s="227"/>
      <c r="H220" s="405">
        <f t="shared" ref="H220:O220" si="63">SUM(H213:H219)</f>
        <v>0</v>
      </c>
      <c r="I220" s="405">
        <f t="shared" si="63"/>
        <v>5424.2</v>
      </c>
      <c r="J220" s="445">
        <f t="shared" si="63"/>
        <v>7986.4000000000005</v>
      </c>
      <c r="K220" s="445">
        <f>SUM(K213:K219)</f>
        <v>7559.4228931696362</v>
      </c>
      <c r="L220" s="405">
        <f t="shared" si="63"/>
        <v>7936.4123885984918</v>
      </c>
      <c r="M220" s="405">
        <f t="shared" si="63"/>
        <v>7912.7179124713475</v>
      </c>
      <c r="N220" s="405">
        <f t="shared" si="63"/>
        <v>8003.5992990434734</v>
      </c>
      <c r="O220" s="405">
        <f t="shared" si="63"/>
        <v>9207.4684675440203</v>
      </c>
      <c r="P220" s="379"/>
      <c r="S220" s="379"/>
      <c r="T220" s="379"/>
      <c r="V220" s="379"/>
      <c r="W220" s="379"/>
    </row>
    <row r="221" spans="2:23" x14ac:dyDescent="0.25">
      <c r="F221" s="227"/>
      <c r="G221" s="268"/>
      <c r="H221" s="227"/>
      <c r="I221" s="227"/>
      <c r="J221" s="446"/>
      <c r="K221" s="446"/>
      <c r="L221" s="286"/>
      <c r="M221" s="286"/>
      <c r="N221" s="286"/>
      <c r="O221" s="286"/>
      <c r="P221" s="379"/>
    </row>
    <row r="222" spans="2:23" x14ac:dyDescent="0.25">
      <c r="C222" t="s">
        <v>104</v>
      </c>
      <c r="F222" s="194"/>
      <c r="G222" s="285"/>
      <c r="H222" s="400"/>
      <c r="I222" s="400">
        <f>12565.7+23773.6</f>
        <v>36339.300000000003</v>
      </c>
      <c r="J222" s="400">
        <f>13514.4+24907.6</f>
        <v>38422</v>
      </c>
      <c r="K222" s="397">
        <f>J222-K182-K277</f>
        <v>38969.65</v>
      </c>
      <c r="L222" s="396">
        <f>K222-L182-L277</f>
        <v>39701.675000000003</v>
      </c>
      <c r="M222" s="396">
        <f>L222-M182-M277</f>
        <v>40636.512500000004</v>
      </c>
      <c r="N222" s="396">
        <f>M222-N182-N277</f>
        <v>41794.443750000006</v>
      </c>
      <c r="O222" s="396">
        <f>N222-O182-O277</f>
        <v>43197.778125000004</v>
      </c>
      <c r="P222" s="379"/>
      <c r="S222" s="379"/>
      <c r="V222" s="379"/>
      <c r="W222" s="379"/>
    </row>
    <row r="223" spans="2:23" x14ac:dyDescent="0.25">
      <c r="C223" t="s">
        <v>177</v>
      </c>
      <c r="F223" s="194"/>
      <c r="G223" s="285"/>
      <c r="H223" s="400"/>
      <c r="I223" s="400">
        <f>1064.5</f>
        <v>1064.5</v>
      </c>
      <c r="J223" s="400">
        <f>1080.2</f>
        <v>1080.2</v>
      </c>
      <c r="K223" s="397">
        <f>J223+Assumptions!J61-Assumptions!J62</f>
        <v>1280.2</v>
      </c>
      <c r="L223" s="396">
        <f>K223+Assumptions!K61-Assumptions!K62</f>
        <v>1480.2</v>
      </c>
      <c r="M223" s="396">
        <f>L223+Assumptions!L61-Assumptions!L62</f>
        <v>1680.1999999999998</v>
      </c>
      <c r="N223" s="396">
        <f>M223+Assumptions!M61-Assumptions!M62</f>
        <v>1880.1999999999998</v>
      </c>
      <c r="O223" s="396">
        <f>N223+Assumptions!N61-Assumptions!N62</f>
        <v>2080.1999999999998</v>
      </c>
      <c r="P223" s="379"/>
      <c r="S223" s="379"/>
      <c r="T223" s="379"/>
      <c r="V223" s="379"/>
      <c r="W223" s="379"/>
    </row>
    <row r="224" spans="2:23" x14ac:dyDescent="0.25">
      <c r="C224" t="s">
        <v>178</v>
      </c>
      <c r="F224" s="194"/>
      <c r="G224" s="285"/>
      <c r="H224" s="400"/>
      <c r="I224" s="400">
        <v>2900.4</v>
      </c>
      <c r="J224" s="400">
        <v>3040.4</v>
      </c>
      <c r="K224" s="397">
        <f>J224-Assumptions!J68</f>
        <v>3040.4</v>
      </c>
      <c r="L224" s="396">
        <f>K224-Assumptions!K68</f>
        <v>3040.4</v>
      </c>
      <c r="M224" s="396">
        <f>L224-Assumptions!L68</f>
        <v>3040.4</v>
      </c>
      <c r="N224" s="396">
        <f>M224-Assumptions!M68</f>
        <v>3040.4</v>
      </c>
      <c r="O224" s="396">
        <f>N224-Assumptions!N68</f>
        <v>3040.4</v>
      </c>
      <c r="P224" s="379"/>
      <c r="S224" s="379"/>
      <c r="V224" s="379"/>
      <c r="W224" s="379"/>
    </row>
    <row r="225" spans="2:23" x14ac:dyDescent="0.25">
      <c r="C225" t="s">
        <v>179</v>
      </c>
      <c r="F225" s="194"/>
      <c r="G225" s="285"/>
      <c r="H225" s="400"/>
      <c r="I225" s="400"/>
      <c r="J225" s="400"/>
      <c r="K225" s="397">
        <f>J225-K302</f>
        <v>0</v>
      </c>
      <c r="L225" s="396">
        <f>K225-L302</f>
        <v>0</v>
      </c>
      <c r="M225" s="396">
        <f>L225-M302</f>
        <v>0</v>
      </c>
      <c r="N225" s="396">
        <f>M225-N302</f>
        <v>0</v>
      </c>
      <c r="O225" s="396">
        <f>N225-O302</f>
        <v>0</v>
      </c>
      <c r="P225" s="379"/>
      <c r="S225" s="379"/>
      <c r="V225" s="379"/>
      <c r="W225" s="379"/>
    </row>
    <row r="226" spans="2:23" x14ac:dyDescent="0.25">
      <c r="C226" s="197" t="s">
        <v>33</v>
      </c>
      <c r="F226" s="194"/>
      <c r="G226" s="285"/>
      <c r="H226" s="400"/>
      <c r="I226" s="400">
        <v>4707.2</v>
      </c>
      <c r="J226" s="400">
        <f>5617.8</f>
        <v>5617.8</v>
      </c>
      <c r="K226" s="397">
        <f>J226-K185</f>
        <v>6117.8</v>
      </c>
      <c r="L226" s="396">
        <f>K226-L185</f>
        <v>6617.8</v>
      </c>
      <c r="M226" s="396">
        <f>L226-M185</f>
        <v>7117.8</v>
      </c>
      <c r="N226" s="396">
        <f>M226-N185</f>
        <v>7617.8</v>
      </c>
      <c r="O226" s="396">
        <f>N226-O185</f>
        <v>8117.8</v>
      </c>
      <c r="P226" s="379"/>
    </row>
    <row r="227" spans="2:23" x14ac:dyDescent="0.25">
      <c r="C227" s="198" t="s">
        <v>105</v>
      </c>
      <c r="F227" s="194"/>
      <c r="G227" s="285"/>
      <c r="H227" s="407">
        <f>SUM(H222:H226)</f>
        <v>0</v>
      </c>
      <c r="I227" s="407">
        <f t="shared" ref="I227:O227" si="64">SUM(I222:I226)</f>
        <v>45011.4</v>
      </c>
      <c r="J227" s="407">
        <f t="shared" si="64"/>
        <v>48160.4</v>
      </c>
      <c r="K227" s="407">
        <f>SUM(K222:K226)</f>
        <v>49408.05</v>
      </c>
      <c r="L227" s="407">
        <f t="shared" si="64"/>
        <v>50840.075000000004</v>
      </c>
      <c r="M227" s="407">
        <f t="shared" si="64"/>
        <v>52474.912500000006</v>
      </c>
      <c r="N227" s="407">
        <f t="shared" si="64"/>
        <v>54332.843750000007</v>
      </c>
      <c r="O227" s="407">
        <f t="shared" si="64"/>
        <v>56436.178125000006</v>
      </c>
      <c r="P227" s="379"/>
      <c r="S227" s="379"/>
      <c r="T227" s="379"/>
      <c r="V227" s="379"/>
      <c r="W227" s="379"/>
    </row>
    <row r="228" spans="2:23" x14ac:dyDescent="0.25">
      <c r="C228" s="197"/>
      <c r="F228" s="194"/>
      <c r="G228" s="285"/>
      <c r="H228" s="400"/>
      <c r="I228" s="400"/>
      <c r="J228" s="400"/>
      <c r="K228" s="397"/>
      <c r="L228" s="397"/>
      <c r="M228" s="397"/>
      <c r="N228" s="397"/>
      <c r="O228" s="397"/>
      <c r="P228" s="379"/>
      <c r="S228" s="379"/>
      <c r="T228" s="379"/>
      <c r="U228" s="379"/>
      <c r="V228" s="379"/>
      <c r="W228" s="379"/>
    </row>
    <row r="229" spans="2:23" ht="15.75" thickBot="1" x14ac:dyDescent="0.3">
      <c r="C229" s="191" t="s">
        <v>106</v>
      </c>
      <c r="F229" s="207"/>
      <c r="G229" s="229"/>
      <c r="H229" s="408">
        <f>+H220+H227</f>
        <v>0</v>
      </c>
      <c r="I229" s="408">
        <f t="shared" ref="I229:O229" si="65">+I220+I227</f>
        <v>50435.6</v>
      </c>
      <c r="J229" s="447">
        <f t="shared" si="65"/>
        <v>56146.8</v>
      </c>
      <c r="K229" s="447">
        <f>+K220+K227</f>
        <v>56967.472893169637</v>
      </c>
      <c r="L229" s="408">
        <f t="shared" si="65"/>
        <v>58776.4873885985</v>
      </c>
      <c r="M229" s="408">
        <f t="shared" si="65"/>
        <v>60387.63041247135</v>
      </c>
      <c r="N229" s="408">
        <f t="shared" si="65"/>
        <v>62336.443049043482</v>
      </c>
      <c r="O229" s="408">
        <f t="shared" si="65"/>
        <v>65643.646592544028</v>
      </c>
      <c r="P229" s="379"/>
      <c r="S229" s="379"/>
      <c r="V229" s="379"/>
      <c r="W229" s="379"/>
    </row>
    <row r="230" spans="2:23" ht="5.0999999999999996" customHeight="1" thickTop="1" x14ac:dyDescent="0.25">
      <c r="F230" s="227"/>
      <c r="G230" s="268"/>
      <c r="H230" s="227"/>
      <c r="I230" s="227"/>
      <c r="J230" s="270"/>
      <c r="K230" s="270"/>
      <c r="L230" s="268"/>
      <c r="M230" s="268"/>
      <c r="N230" s="268"/>
      <c r="O230" s="268"/>
      <c r="P230" s="379"/>
    </row>
    <row r="231" spans="2:23" ht="5.0999999999999996" customHeight="1" x14ac:dyDescent="0.25">
      <c r="F231" s="227"/>
      <c r="G231" s="268"/>
      <c r="H231" s="227"/>
      <c r="I231" s="227"/>
      <c r="J231" s="270"/>
      <c r="K231" s="270"/>
      <c r="L231" s="268"/>
      <c r="M231" s="268"/>
      <c r="N231" s="268"/>
      <c r="O231" s="268"/>
      <c r="P231" s="379"/>
    </row>
    <row r="232" spans="2:23" x14ac:dyDescent="0.25">
      <c r="B232" s="193" t="s">
        <v>107</v>
      </c>
      <c r="F232" s="227"/>
      <c r="G232" s="268"/>
      <c r="H232" s="227"/>
      <c r="I232" s="227"/>
      <c r="J232" s="270"/>
      <c r="K232" s="270"/>
      <c r="L232" s="268"/>
      <c r="M232" s="268"/>
      <c r="N232" s="268"/>
      <c r="O232" s="268"/>
      <c r="P232" s="379"/>
    </row>
    <row r="233" spans="2:23" x14ac:dyDescent="0.25">
      <c r="C233" s="197" t="s">
        <v>108</v>
      </c>
      <c r="F233" s="194"/>
      <c r="G233" s="271"/>
      <c r="H233" s="400"/>
      <c r="I233" s="400"/>
      <c r="J233" s="400"/>
      <c r="K233" s="397">
        <f>K405</f>
        <v>0</v>
      </c>
      <c r="L233" s="396">
        <f>L405</f>
        <v>0</v>
      </c>
      <c r="M233" s="396">
        <f>M405</f>
        <v>0</v>
      </c>
      <c r="N233" s="396">
        <f>N405</f>
        <v>0</v>
      </c>
      <c r="O233" s="396">
        <f>O405</f>
        <v>0</v>
      </c>
      <c r="P233" s="379"/>
    </row>
    <row r="234" spans="2:23" x14ac:dyDescent="0.25">
      <c r="C234" s="197" t="s">
        <v>181</v>
      </c>
      <c r="F234" s="194"/>
      <c r="G234" s="271"/>
      <c r="H234" s="400"/>
      <c r="I234" s="400">
        <v>0</v>
      </c>
      <c r="J234" s="400">
        <v>2192.4</v>
      </c>
      <c r="K234" s="397">
        <f>K358</f>
        <v>1176.6711135245901</v>
      </c>
      <c r="L234" s="396">
        <f t="shared" ref="L234:O234" si="66">L358</f>
        <v>1232.9901391499998</v>
      </c>
      <c r="M234" s="396">
        <f t="shared" si="66"/>
        <v>1288.4746954117497</v>
      </c>
      <c r="N234" s="396">
        <f t="shared" si="66"/>
        <v>1346.4560567052786</v>
      </c>
      <c r="O234" s="396">
        <f t="shared" si="66"/>
        <v>1403.2021896962042</v>
      </c>
      <c r="P234" s="379"/>
      <c r="R234" s="379"/>
      <c r="S234" s="379"/>
      <c r="T234" s="379"/>
      <c r="U234" s="379"/>
    </row>
    <row r="235" spans="2:23" x14ac:dyDescent="0.25">
      <c r="C235" s="197" t="s">
        <v>53</v>
      </c>
      <c r="F235" s="194"/>
      <c r="G235" s="271"/>
      <c r="H235" s="400"/>
      <c r="I235" s="400">
        <f>980.2</f>
        <v>980.2</v>
      </c>
      <c r="J235" s="400">
        <f>1102.9</f>
        <v>1102.9000000000001</v>
      </c>
      <c r="K235" s="397">
        <f>K359</f>
        <v>1168.4158219470546</v>
      </c>
      <c r="L235" s="396">
        <f>L359</f>
        <v>1224.3397244386026</v>
      </c>
      <c r="M235" s="396">
        <f>M359</f>
        <v>1279.4350120383394</v>
      </c>
      <c r="N235" s="396">
        <f>N359</f>
        <v>1337.009587580065</v>
      </c>
      <c r="O235" s="396">
        <f>O359</f>
        <v>1393.3576009364101</v>
      </c>
      <c r="P235" s="379"/>
      <c r="R235" s="379"/>
      <c r="S235" s="379"/>
      <c r="T235" s="379"/>
      <c r="U235" s="379"/>
    </row>
    <row r="236" spans="2:23" x14ac:dyDescent="0.25">
      <c r="C236" s="197" t="s">
        <v>270</v>
      </c>
      <c r="F236" s="194"/>
      <c r="G236" s="271"/>
      <c r="H236" s="400"/>
      <c r="I236" s="400">
        <f>393.4+1237.4+757.8</f>
        <v>2388.6000000000004</v>
      </c>
      <c r="J236" s="400">
        <f>468.9+1433.6+790.1</f>
        <v>2692.6</v>
      </c>
      <c r="K236" s="397">
        <f>K360</f>
        <v>2849.9364000323153</v>
      </c>
      <c r="L236" s="396">
        <f t="shared" ref="L236:O236" si="67">L360</f>
        <v>2986.3429449872865</v>
      </c>
      <c r="M236" s="396">
        <f t="shared" si="67"/>
        <v>3120.7283775117139</v>
      </c>
      <c r="N236" s="396">
        <f t="shared" si="67"/>
        <v>3261.1611544997418</v>
      </c>
      <c r="O236" s="396">
        <f t="shared" si="67"/>
        <v>3398.6021676367855</v>
      </c>
      <c r="P236" s="379"/>
      <c r="R236" s="379"/>
      <c r="S236" s="379"/>
      <c r="T236" s="379"/>
      <c r="U236" s="379"/>
    </row>
    <row r="237" spans="2:23" x14ac:dyDescent="0.25">
      <c r="C237" s="197" t="s">
        <v>33</v>
      </c>
      <c r="F237" s="194"/>
      <c r="G237" s="285"/>
      <c r="H237" s="400"/>
      <c r="I237" s="400">
        <f>274.9+255.1</f>
        <v>530</v>
      </c>
      <c r="J237" s="400">
        <f>705.1+268</f>
        <v>973.1</v>
      </c>
      <c r="K237" s="397">
        <f t="shared" ref="K237:O237" si="68">K361</f>
        <v>833.9757549156833</v>
      </c>
      <c r="L237" s="396">
        <f t="shared" si="68"/>
        <v>873.89234789753812</v>
      </c>
      <c r="M237" s="396">
        <f t="shared" si="68"/>
        <v>913.21750355292716</v>
      </c>
      <c r="N237" s="396">
        <f t="shared" si="68"/>
        <v>954.31229121280899</v>
      </c>
      <c r="O237" s="396">
        <f t="shared" si="68"/>
        <v>994.53160020722828</v>
      </c>
      <c r="P237" s="379"/>
      <c r="R237" s="379"/>
      <c r="S237" s="379"/>
      <c r="T237" s="379"/>
      <c r="U237" s="379"/>
    </row>
    <row r="238" spans="2:23" x14ac:dyDescent="0.25">
      <c r="C238" s="193" t="s">
        <v>109</v>
      </c>
      <c r="F238" s="207"/>
      <c r="G238" s="227"/>
      <c r="H238" s="407">
        <f t="shared" ref="H238:O238" si="69">SUM(H233:H237)</f>
        <v>0</v>
      </c>
      <c r="I238" s="407">
        <f t="shared" si="69"/>
        <v>3898.8</v>
      </c>
      <c r="J238" s="407">
        <f t="shared" si="69"/>
        <v>6961</v>
      </c>
      <c r="K238" s="407">
        <f t="shared" si="69"/>
        <v>6028.9990904196429</v>
      </c>
      <c r="L238" s="407">
        <f t="shared" si="69"/>
        <v>6317.5651564734271</v>
      </c>
      <c r="M238" s="407">
        <f t="shared" si="69"/>
        <v>6601.8555885147307</v>
      </c>
      <c r="N238" s="407">
        <f t="shared" si="69"/>
        <v>6898.9390899978953</v>
      </c>
      <c r="O238" s="407">
        <f t="shared" si="69"/>
        <v>7189.6935584766288</v>
      </c>
      <c r="P238" s="379"/>
      <c r="R238" s="379"/>
      <c r="S238" s="379"/>
      <c r="T238" s="379"/>
      <c r="U238" s="379"/>
    </row>
    <row r="239" spans="2:23" x14ac:dyDescent="0.25">
      <c r="F239" s="227"/>
      <c r="G239" s="268"/>
      <c r="H239" s="227"/>
      <c r="I239" s="227"/>
      <c r="J239" s="270"/>
      <c r="K239" s="270"/>
      <c r="L239" s="268"/>
      <c r="M239" s="269"/>
      <c r="N239" s="268"/>
      <c r="O239" s="268"/>
      <c r="P239" s="379"/>
      <c r="R239" s="379"/>
      <c r="S239" s="379"/>
      <c r="T239" s="379"/>
      <c r="U239" s="379"/>
    </row>
    <row r="240" spans="2:23" x14ac:dyDescent="0.25">
      <c r="C240" t="s">
        <v>77</v>
      </c>
      <c r="F240" s="194"/>
      <c r="G240" s="268"/>
      <c r="H240" s="400"/>
      <c r="I240" s="400">
        <f>791.9+1997.5</f>
        <v>2789.4</v>
      </c>
      <c r="J240" s="400">
        <f>363.2+1680.9</f>
        <v>2044.1000000000001</v>
      </c>
      <c r="K240" s="397">
        <f>J240+K323</f>
        <v>1594.1000000000004</v>
      </c>
      <c r="L240" s="396">
        <f>K240+L323</f>
        <v>1144.1000000000004</v>
      </c>
      <c r="M240" s="396">
        <f>L240+M323</f>
        <v>694.10000000000059</v>
      </c>
      <c r="N240" s="396">
        <f>M240+N323</f>
        <v>244.10000000000036</v>
      </c>
      <c r="O240" s="396">
        <f>N240+O323</f>
        <v>-205.89999999999964</v>
      </c>
      <c r="P240" s="379"/>
      <c r="R240" s="379"/>
      <c r="S240" s="379"/>
      <c r="T240" s="379"/>
      <c r="U240" s="379"/>
    </row>
    <row r="241" spans="2:21" x14ac:dyDescent="0.25">
      <c r="C241" s="197" t="s">
        <v>110</v>
      </c>
      <c r="F241" s="194"/>
      <c r="G241" s="287"/>
      <c r="H241" s="400"/>
      <c r="I241" s="400">
        <f>35903.5+12134.4</f>
        <v>48037.9</v>
      </c>
      <c r="J241" s="400">
        <f>37152.9</f>
        <v>37152.9</v>
      </c>
      <c r="K241" s="397">
        <f>K413</f>
        <v>38152.9</v>
      </c>
      <c r="L241" s="396">
        <f>L413</f>
        <v>38652.9</v>
      </c>
      <c r="M241" s="396">
        <f>M413</f>
        <v>38652.9</v>
      </c>
      <c r="N241" s="396">
        <f>N413</f>
        <v>38652.9</v>
      </c>
      <c r="O241" s="396">
        <f>O413</f>
        <v>39652.9</v>
      </c>
      <c r="P241" s="379"/>
      <c r="R241" s="379"/>
      <c r="S241" s="379"/>
      <c r="T241" s="379"/>
      <c r="U241" s="379"/>
    </row>
    <row r="242" spans="2:21" x14ac:dyDescent="0.25">
      <c r="C242" s="197" t="s">
        <v>182</v>
      </c>
      <c r="F242" s="194"/>
      <c r="G242" s="287"/>
      <c r="H242" s="400"/>
      <c r="I242" s="400">
        <f>661.1</f>
        <v>661.1</v>
      </c>
      <c r="J242" s="400">
        <f>688.1+13057.7</f>
        <v>13745.800000000001</v>
      </c>
      <c r="K242" s="397">
        <f>J242</f>
        <v>13745.800000000001</v>
      </c>
      <c r="L242" s="396">
        <f t="shared" ref="L242:O242" si="70">K242</f>
        <v>13745.800000000001</v>
      </c>
      <c r="M242" s="396">
        <f t="shared" si="70"/>
        <v>13745.800000000001</v>
      </c>
      <c r="N242" s="396">
        <f t="shared" si="70"/>
        <v>13745.800000000001</v>
      </c>
      <c r="O242" s="396">
        <f t="shared" si="70"/>
        <v>13745.800000000001</v>
      </c>
      <c r="P242" s="379"/>
      <c r="R242" s="379"/>
      <c r="S242" s="379"/>
      <c r="T242" s="379"/>
      <c r="U242" s="379"/>
    </row>
    <row r="243" spans="2:21" x14ac:dyDescent="0.25">
      <c r="C243" s="197" t="s">
        <v>33</v>
      </c>
      <c r="F243" s="194"/>
      <c r="G243" s="287"/>
      <c r="H243" s="400"/>
      <c r="I243" s="400">
        <f>1051.8</f>
        <v>1051.8</v>
      </c>
      <c r="J243" s="400">
        <f>949.7</f>
        <v>949.7</v>
      </c>
      <c r="K243" s="397">
        <f>J243</f>
        <v>949.7</v>
      </c>
      <c r="L243" s="396">
        <f t="shared" ref="L243:O243" si="71">K243</f>
        <v>949.7</v>
      </c>
      <c r="M243" s="396">
        <f t="shared" si="71"/>
        <v>949.7</v>
      </c>
      <c r="N243" s="396">
        <f t="shared" si="71"/>
        <v>949.7</v>
      </c>
      <c r="O243" s="396">
        <f t="shared" si="71"/>
        <v>949.7</v>
      </c>
      <c r="P243" s="379"/>
    </row>
    <row r="244" spans="2:21" x14ac:dyDescent="0.25">
      <c r="C244" s="198" t="s">
        <v>111</v>
      </c>
      <c r="F244" s="207"/>
      <c r="G244" s="271"/>
      <c r="H244" s="407">
        <f t="shared" ref="H244" si="72">SUM(H240:H243)</f>
        <v>0</v>
      </c>
      <c r="I244" s="407">
        <f>SUM(I240:I243)</f>
        <v>52540.200000000004</v>
      </c>
      <c r="J244" s="407">
        <f t="shared" ref="J244:O244" si="73">SUM(J240:J243)</f>
        <v>53892.5</v>
      </c>
      <c r="K244" s="407">
        <f>SUM(K240:K243)</f>
        <v>54442.5</v>
      </c>
      <c r="L244" s="407">
        <f t="shared" si="73"/>
        <v>54492.5</v>
      </c>
      <c r="M244" s="407">
        <f t="shared" si="73"/>
        <v>54042.5</v>
      </c>
      <c r="N244" s="407">
        <f t="shared" si="73"/>
        <v>53592.5</v>
      </c>
      <c r="O244" s="407">
        <f t="shared" si="73"/>
        <v>54142.5</v>
      </c>
      <c r="P244" s="379"/>
      <c r="R244" s="379"/>
      <c r="S244" s="379"/>
      <c r="T244" s="379"/>
      <c r="U244" s="379"/>
    </row>
    <row r="245" spans="2:21" x14ac:dyDescent="0.25">
      <c r="C245" s="193"/>
      <c r="F245" s="227"/>
      <c r="G245" s="268"/>
      <c r="H245" s="227"/>
      <c r="I245" s="227"/>
      <c r="J245" s="270"/>
      <c r="K245" s="270"/>
      <c r="L245" s="268"/>
      <c r="M245" s="268"/>
      <c r="N245" s="268"/>
      <c r="O245" s="268"/>
      <c r="P245" s="379"/>
      <c r="S245" s="242"/>
      <c r="T245" s="379"/>
      <c r="U245" s="379"/>
    </row>
    <row r="246" spans="2:21" x14ac:dyDescent="0.25">
      <c r="C246" s="198" t="s">
        <v>112</v>
      </c>
      <c r="F246" s="207"/>
      <c r="G246" s="229"/>
      <c r="H246" s="541">
        <f t="shared" ref="H246:O246" si="74">H244+H238</f>
        <v>0</v>
      </c>
      <c r="I246" s="541">
        <f t="shared" si="74"/>
        <v>56439.000000000007</v>
      </c>
      <c r="J246" s="542">
        <f t="shared" si="74"/>
        <v>60853.5</v>
      </c>
      <c r="K246" s="542">
        <f>K244+K238</f>
        <v>60471.499090419646</v>
      </c>
      <c r="L246" s="541">
        <f t="shared" si="74"/>
        <v>60810.065156473429</v>
      </c>
      <c r="M246" s="541">
        <f t="shared" si="74"/>
        <v>60644.355588514729</v>
      </c>
      <c r="N246" s="541">
        <f t="shared" si="74"/>
        <v>60491.439089997897</v>
      </c>
      <c r="O246" s="541">
        <f t="shared" si="74"/>
        <v>61332.193558476632</v>
      </c>
      <c r="P246" s="379"/>
    </row>
    <row r="247" spans="2:21" x14ac:dyDescent="0.25">
      <c r="F247" s="227"/>
      <c r="G247" s="227"/>
      <c r="H247" s="227"/>
      <c r="I247" s="227"/>
      <c r="J247" s="270"/>
      <c r="K247" s="270"/>
      <c r="L247" s="268"/>
      <c r="M247" s="268"/>
      <c r="N247" s="268"/>
      <c r="O247" s="268"/>
      <c r="P247" s="379"/>
    </row>
    <row r="248" spans="2:21" x14ac:dyDescent="0.25">
      <c r="C248" t="s">
        <v>113</v>
      </c>
      <c r="F248" s="194"/>
      <c r="G248" s="227"/>
      <c r="H248" s="400"/>
      <c r="I248" s="400">
        <v>16.600000000000001</v>
      </c>
      <c r="J248" s="400">
        <v>16.600000000000001</v>
      </c>
      <c r="K248" s="397">
        <f>K448</f>
        <v>26.545821913442534</v>
      </c>
      <c r="L248" s="396">
        <f>L448</f>
        <v>48.567861808530196</v>
      </c>
      <c r="M248" s="396">
        <f>M448</f>
        <v>119.42320003820278</v>
      </c>
      <c r="N248" s="396">
        <f>N448</f>
        <v>1514.078938319085</v>
      </c>
      <c r="O248" s="396">
        <f>O448</f>
        <v>-948.8908178888862</v>
      </c>
      <c r="P248" s="379"/>
    </row>
    <row r="249" spans="2:21" x14ac:dyDescent="0.25">
      <c r="C249" t="s">
        <v>296</v>
      </c>
      <c r="F249" s="194"/>
      <c r="G249" s="288"/>
      <c r="H249" s="400"/>
      <c r="I249" s="400">
        <f>59543.9+8547.1-71624.4</f>
        <v>-3533.3999999999942</v>
      </c>
      <c r="J249" s="400">
        <f>63479.9+8892.9-74640.1</f>
        <v>-2267.3000000000029</v>
      </c>
      <c r="K249" s="397">
        <f>K460</f>
        <v>-1074.572019163445</v>
      </c>
      <c r="L249" s="396">
        <f>L460</f>
        <v>373.85437031653782</v>
      </c>
      <c r="M249" s="396">
        <f>M460</f>
        <v>2079.8516239184191</v>
      </c>
      <c r="N249" s="396">
        <f>N460</f>
        <v>2786.9250207264977</v>
      </c>
      <c r="O249" s="396">
        <f>O460</f>
        <v>7716.3438519562833</v>
      </c>
      <c r="P249" s="379"/>
    </row>
    <row r="250" spans="2:21" x14ac:dyDescent="0.25">
      <c r="C250" t="s">
        <v>183</v>
      </c>
      <c r="F250" s="194"/>
      <c r="G250" s="288"/>
      <c r="H250" s="400"/>
      <c r="I250" s="400">
        <v>-2486.6</v>
      </c>
      <c r="J250" s="400">
        <v>-2456</v>
      </c>
      <c r="K250" s="397">
        <f>K465</f>
        <v>-2456</v>
      </c>
      <c r="L250" s="396">
        <f t="shared" ref="L250:O250" si="75">L465</f>
        <v>-2456</v>
      </c>
      <c r="M250" s="396">
        <f t="shared" si="75"/>
        <v>-2456</v>
      </c>
      <c r="N250" s="396">
        <f t="shared" si="75"/>
        <v>-2456</v>
      </c>
      <c r="O250" s="396">
        <f t="shared" si="75"/>
        <v>-2456</v>
      </c>
      <c r="P250" s="379"/>
    </row>
    <row r="251" spans="2:21" x14ac:dyDescent="0.25">
      <c r="C251" s="193" t="s">
        <v>115</v>
      </c>
      <c r="F251" s="207"/>
      <c r="G251" s="271"/>
      <c r="H251" s="543">
        <f t="shared" ref="H251" si="76">SUM(H248:H250)</f>
        <v>0</v>
      </c>
      <c r="I251" s="543">
        <f>SUM(I248:I250)</f>
        <v>-6003.3999999999942</v>
      </c>
      <c r="J251" s="543">
        <f t="shared" ref="J251" si="77">SUM(J248:J250)</f>
        <v>-4706.7000000000025</v>
      </c>
      <c r="K251" s="543">
        <f>SUM(K248:K250)</f>
        <v>-3504.0261972500025</v>
      </c>
      <c r="L251" s="543">
        <f t="shared" ref="L251:O251" si="78">SUM(L248:L250)</f>
        <v>-2033.5777678749319</v>
      </c>
      <c r="M251" s="543">
        <f t="shared" si="78"/>
        <v>-256.72517604337827</v>
      </c>
      <c r="N251" s="543">
        <f t="shared" si="78"/>
        <v>1845.0039590455826</v>
      </c>
      <c r="O251" s="543">
        <f t="shared" si="78"/>
        <v>4311.4530340673973</v>
      </c>
      <c r="Q251" s="358"/>
    </row>
    <row r="252" spans="2:21" x14ac:dyDescent="0.25">
      <c r="F252" s="227"/>
      <c r="G252" s="227"/>
      <c r="H252" s="268"/>
      <c r="I252" s="268"/>
      <c r="J252" s="268"/>
      <c r="K252" s="268"/>
      <c r="L252" s="268"/>
      <c r="M252" s="268"/>
      <c r="N252" s="268"/>
      <c r="O252" s="268"/>
    </row>
    <row r="253" spans="2:21" ht="15.75" thickBot="1" x14ac:dyDescent="0.3">
      <c r="B253" s="193" t="s">
        <v>116</v>
      </c>
      <c r="F253" s="207"/>
      <c r="G253" s="229"/>
      <c r="H253" s="564">
        <f>H251+H246</f>
        <v>0</v>
      </c>
      <c r="I253" s="564">
        <f>I251+I246</f>
        <v>50435.600000000013</v>
      </c>
      <c r="J253" s="564">
        <f t="shared" ref="J253:O253" si="79">J251+J246</f>
        <v>56146.799999999996</v>
      </c>
      <c r="K253" s="564">
        <f>K251+K246</f>
        <v>56967.472893169645</v>
      </c>
      <c r="L253" s="564">
        <f t="shared" si="79"/>
        <v>58776.4873885985</v>
      </c>
      <c r="M253" s="564">
        <f t="shared" si="79"/>
        <v>60387.63041247135</v>
      </c>
      <c r="N253" s="564">
        <f t="shared" si="79"/>
        <v>62336.443049043482</v>
      </c>
      <c r="O253" s="564">
        <f t="shared" si="79"/>
        <v>65643.646592544028</v>
      </c>
    </row>
    <row r="254" spans="2:21" ht="15.75" thickTop="1" x14ac:dyDescent="0.25">
      <c r="D254" s="290" t="s">
        <v>117</v>
      </c>
      <c r="F254" s="289"/>
      <c r="G254" s="289"/>
      <c r="H254" s="292">
        <f t="shared" ref="H254:O254" si="80">ROUND(H229-H253,3)</f>
        <v>0</v>
      </c>
      <c r="I254" s="292">
        <f>ROUND(I229-I253,3)</f>
        <v>0</v>
      </c>
      <c r="J254" s="292">
        <f t="shared" si="80"/>
        <v>0</v>
      </c>
      <c r="K254" s="292">
        <f t="shared" si="80"/>
        <v>0</v>
      </c>
      <c r="L254" s="448">
        <f t="shared" si="80"/>
        <v>0</v>
      </c>
      <c r="M254" s="448">
        <f t="shared" si="80"/>
        <v>0</v>
      </c>
      <c r="N254" s="448">
        <f t="shared" si="80"/>
        <v>0</v>
      </c>
      <c r="O254" s="448">
        <f t="shared" si="80"/>
        <v>0</v>
      </c>
      <c r="P254" s="292"/>
      <c r="Q254" s="437"/>
    </row>
    <row r="255" spans="2:21" x14ac:dyDescent="0.25">
      <c r="B255" s="264"/>
      <c r="F255" s="291"/>
      <c r="G255" s="291"/>
      <c r="K255" s="436"/>
      <c r="L255" s="436"/>
      <c r="M255" s="436"/>
      <c r="N255" s="436"/>
      <c r="O255" s="436"/>
      <c r="Q255" s="436"/>
      <c r="R255" s="436"/>
      <c r="S255" s="436"/>
      <c r="T255" s="436"/>
    </row>
    <row r="257" spans="1:243" ht="12.75" customHeight="1" x14ac:dyDescent="0.35">
      <c r="A257" s="176"/>
      <c r="B257" s="177"/>
      <c r="C257" s="173"/>
      <c r="D257" s="173"/>
      <c r="E257" s="173"/>
      <c r="F257" s="174"/>
      <c r="G257" s="173"/>
      <c r="H257" s="173"/>
      <c r="I257" s="173"/>
      <c r="J257" s="173"/>
      <c r="K257" s="173"/>
      <c r="L257" s="173"/>
      <c r="M257" s="173"/>
      <c r="N257" s="173"/>
      <c r="O257" s="214" t="str">
        <f>$O$1</f>
        <v>CURRENTLY RUNNING: BASE CASE SCENARIO</v>
      </c>
    </row>
    <row r="258" spans="1:243" ht="22.7" customHeight="1" x14ac:dyDescent="0.4">
      <c r="B258" s="293" t="str">
        <f>B$2</f>
        <v>McDonald's Corporation</v>
      </c>
      <c r="C258" s="294"/>
      <c r="D258" s="294"/>
      <c r="E258" s="295"/>
      <c r="F258" s="295"/>
      <c r="G258" s="296"/>
      <c r="H258" s="296"/>
      <c r="I258" s="296"/>
      <c r="J258" s="296"/>
      <c r="K258" s="296"/>
      <c r="L258" s="296"/>
      <c r="M258" s="296"/>
      <c r="N258" s="296"/>
      <c r="O258" s="296"/>
    </row>
    <row r="259" spans="1:243" ht="18" x14ac:dyDescent="0.25">
      <c r="B259" s="179" t="s">
        <v>118</v>
      </c>
      <c r="C259" s="179"/>
      <c r="D259" s="179"/>
      <c r="E259" s="297"/>
      <c r="F259" s="297"/>
      <c r="G259" s="179"/>
      <c r="H259" s="179"/>
      <c r="I259" s="179"/>
      <c r="J259" s="179"/>
      <c r="K259" s="179"/>
      <c r="L259" s="179"/>
      <c r="M259" s="179"/>
      <c r="N259" s="179"/>
      <c r="O259" s="179"/>
    </row>
    <row r="260" spans="1:243" ht="3" customHeight="1" thickBot="1" x14ac:dyDescent="0.35">
      <c r="A260" s="178"/>
      <c r="B260" s="182"/>
      <c r="C260" s="183"/>
      <c r="D260" s="183"/>
      <c r="E260" s="183"/>
      <c r="F260" s="184"/>
      <c r="G260" s="183"/>
      <c r="H260" s="183"/>
      <c r="I260" s="183"/>
      <c r="J260" s="183"/>
      <c r="K260" s="183"/>
      <c r="L260" s="183"/>
      <c r="M260" s="183"/>
      <c r="N260" s="183"/>
      <c r="O260" s="183"/>
    </row>
    <row r="261" spans="1:243" x14ac:dyDescent="0.25">
      <c r="B261" s="236" t="str">
        <f>$B$167</f>
        <v>($ Millions)</v>
      </c>
      <c r="C261" s="264"/>
      <c r="E261" s="185"/>
      <c r="F261" s="185"/>
      <c r="G261" s="264"/>
    </row>
    <row r="262" spans="1:243" x14ac:dyDescent="0.25">
      <c r="E262" s="185"/>
      <c r="F262" s="185"/>
      <c r="K262" s="187" t="s">
        <v>2</v>
      </c>
      <c r="L262" s="298"/>
      <c r="M262" s="298"/>
      <c r="N262" s="298"/>
      <c r="O262" s="298"/>
    </row>
    <row r="263" spans="1:243" x14ac:dyDescent="0.25">
      <c r="C263" s="191"/>
      <c r="D263" s="191"/>
      <c r="E263" s="226"/>
      <c r="F263" s="299"/>
      <c r="G263" s="300"/>
      <c r="H263" s="190">
        <f t="shared" ref="H263:J263" si="81">H$7</f>
        <v>2021</v>
      </c>
      <c r="I263" s="190">
        <f t="shared" si="81"/>
        <v>2022</v>
      </c>
      <c r="J263" s="190">
        <f t="shared" si="81"/>
        <v>2023</v>
      </c>
      <c r="K263" s="301">
        <f>K$7</f>
        <v>2024</v>
      </c>
      <c r="L263" s="301">
        <f>L$7</f>
        <v>2025</v>
      </c>
      <c r="M263" s="301">
        <f>M$7</f>
        <v>2026</v>
      </c>
      <c r="N263" s="301">
        <f>N$7</f>
        <v>2027</v>
      </c>
      <c r="O263" s="301">
        <f>O$7</f>
        <v>2028</v>
      </c>
    </row>
    <row r="264" spans="1:243" x14ac:dyDescent="0.25">
      <c r="F264" s="185"/>
    </row>
    <row r="265" spans="1:243" ht="13.35" customHeight="1" x14ac:dyDescent="0.25">
      <c r="A265" s="302"/>
      <c r="B265" s="303" t="s">
        <v>119</v>
      </c>
      <c r="C265" s="248"/>
      <c r="D265" s="248"/>
      <c r="E265" s="248"/>
      <c r="F265" s="304">
        <f>Assumptions!H40</f>
        <v>20</v>
      </c>
      <c r="K265" s="305"/>
      <c r="L265" s="306"/>
      <c r="M265" s="306"/>
      <c r="N265" s="306"/>
      <c r="P265" s="307"/>
      <c r="Q265" s="307"/>
      <c r="R265" s="307"/>
      <c r="S265" s="307"/>
      <c r="T265" s="307"/>
      <c r="U265" s="307"/>
      <c r="V265" s="307"/>
      <c r="W265" s="307"/>
      <c r="X265" s="307"/>
      <c r="Y265" s="307"/>
      <c r="Z265" s="307"/>
      <c r="AA265" s="307"/>
      <c r="AB265" s="307"/>
      <c r="AC265" s="307"/>
      <c r="AD265" s="307"/>
      <c r="AE265" s="307"/>
      <c r="AF265" s="307"/>
      <c r="AG265" s="307"/>
      <c r="AH265" s="307"/>
      <c r="AI265" s="307"/>
      <c r="AJ265" s="307"/>
      <c r="AK265" s="307"/>
      <c r="AL265" s="307"/>
      <c r="AM265" s="307"/>
      <c r="AN265" s="307"/>
      <c r="AO265" s="307"/>
      <c r="AP265" s="307"/>
      <c r="AQ265" s="307"/>
      <c r="AR265" s="307"/>
      <c r="AS265" s="307"/>
      <c r="AT265" s="307"/>
      <c r="AU265" s="307"/>
      <c r="AV265" s="307"/>
      <c r="AW265" s="307"/>
      <c r="AX265" s="307"/>
      <c r="AY265" s="307"/>
      <c r="AZ265" s="307"/>
      <c r="BA265" s="307"/>
      <c r="BB265" s="307"/>
      <c r="BC265" s="307"/>
      <c r="BD265" s="307"/>
      <c r="BE265" s="307"/>
      <c r="BF265" s="307"/>
      <c r="BG265" s="307"/>
      <c r="BH265" s="307"/>
      <c r="BI265" s="307"/>
      <c r="BJ265" s="307"/>
      <c r="BK265" s="307"/>
      <c r="BL265" s="307"/>
      <c r="BM265" s="307"/>
      <c r="BN265" s="307"/>
      <c r="BO265" s="307"/>
      <c r="BP265" s="307"/>
      <c r="BQ265" s="307"/>
      <c r="BR265" s="307"/>
      <c r="BS265" s="307"/>
      <c r="BT265" s="307"/>
      <c r="BU265" s="307"/>
      <c r="BV265" s="307"/>
      <c r="BW265" s="307"/>
      <c r="BX265" s="307"/>
      <c r="BY265" s="307"/>
      <c r="BZ265" s="307"/>
      <c r="CA265" s="307"/>
      <c r="CB265" s="307"/>
      <c r="CC265" s="307"/>
      <c r="CD265" s="307"/>
      <c r="CE265" s="307"/>
      <c r="CF265" s="307"/>
      <c r="CG265" s="307"/>
      <c r="CH265" s="307"/>
      <c r="CI265" s="307"/>
      <c r="CJ265" s="307"/>
      <c r="CK265" s="307"/>
      <c r="CL265" s="307"/>
      <c r="CM265" s="307"/>
      <c r="CN265" s="307"/>
      <c r="CO265" s="307"/>
      <c r="CP265" s="307"/>
      <c r="CQ265" s="307"/>
      <c r="CR265" s="307"/>
      <c r="CS265" s="307"/>
      <c r="CT265" s="307"/>
      <c r="CU265" s="307"/>
      <c r="CV265" s="307"/>
      <c r="CW265" s="307"/>
      <c r="CX265" s="307"/>
      <c r="CY265" s="307"/>
      <c r="CZ265" s="307"/>
      <c r="DA265" s="307"/>
      <c r="DB265" s="307"/>
      <c r="DC265" s="307"/>
      <c r="DD265" s="307"/>
      <c r="DE265" s="307"/>
      <c r="DF265" s="307"/>
      <c r="DG265" s="307"/>
      <c r="DH265" s="307"/>
      <c r="DI265" s="307"/>
      <c r="DJ265" s="307"/>
      <c r="DK265" s="307"/>
      <c r="DL265" s="307"/>
      <c r="DM265" s="307"/>
      <c r="DN265" s="307"/>
      <c r="DO265" s="307"/>
      <c r="DP265" s="307"/>
      <c r="DQ265" s="307"/>
      <c r="DR265" s="307"/>
      <c r="DS265" s="307"/>
      <c r="DT265" s="307"/>
      <c r="DU265" s="307"/>
      <c r="DV265" s="307"/>
      <c r="DW265" s="307"/>
      <c r="DX265" s="307"/>
      <c r="DY265" s="307"/>
      <c r="DZ265" s="307"/>
      <c r="EA265" s="307"/>
      <c r="EB265" s="307"/>
      <c r="EC265" s="307"/>
      <c r="ED265" s="307"/>
      <c r="EE265" s="307"/>
      <c r="EF265" s="307"/>
      <c r="EG265" s="307"/>
      <c r="EH265" s="307"/>
      <c r="EI265" s="307"/>
      <c r="EJ265" s="307"/>
      <c r="EK265" s="307"/>
      <c r="EL265" s="307"/>
      <c r="EM265" s="307"/>
      <c r="EN265" s="307"/>
      <c r="EO265" s="307"/>
      <c r="EP265" s="307"/>
      <c r="EQ265" s="307"/>
      <c r="ER265" s="307"/>
      <c r="ES265" s="307"/>
      <c r="ET265" s="307"/>
      <c r="EU265" s="307"/>
      <c r="EV265" s="307"/>
      <c r="EW265" s="307"/>
      <c r="EX265" s="307"/>
      <c r="EY265" s="307"/>
      <c r="EZ265" s="307"/>
      <c r="FA265" s="307"/>
      <c r="FB265" s="307"/>
      <c r="FC265" s="307"/>
      <c r="FD265" s="307"/>
      <c r="FE265" s="307"/>
      <c r="FF265" s="307"/>
      <c r="FG265" s="307"/>
      <c r="FH265" s="307"/>
      <c r="FI265" s="307"/>
      <c r="FJ265" s="307"/>
      <c r="FK265" s="307"/>
      <c r="FL265" s="307"/>
      <c r="FM265" s="307"/>
      <c r="FN265" s="307"/>
      <c r="FO265" s="307"/>
      <c r="FP265" s="307"/>
      <c r="FQ265" s="307"/>
      <c r="FR265" s="307"/>
      <c r="FS265" s="307"/>
      <c r="FT265" s="307"/>
      <c r="FU265" s="307"/>
      <c r="FV265" s="307"/>
      <c r="FW265" s="307"/>
      <c r="FX265" s="307"/>
      <c r="FY265" s="307"/>
      <c r="FZ265" s="307"/>
      <c r="GA265" s="307"/>
      <c r="GB265" s="307"/>
      <c r="GC265" s="307"/>
      <c r="GD265" s="307"/>
      <c r="GE265" s="307"/>
      <c r="GF265" s="307"/>
      <c r="GG265" s="307"/>
      <c r="GH265" s="307"/>
      <c r="GI265" s="307"/>
      <c r="GJ265" s="307"/>
      <c r="GK265" s="307"/>
      <c r="GL265" s="307"/>
      <c r="GM265" s="307"/>
      <c r="GN265" s="307"/>
      <c r="GO265" s="307"/>
      <c r="GP265" s="307"/>
      <c r="GQ265" s="307"/>
      <c r="GR265" s="307"/>
      <c r="GS265" s="307"/>
      <c r="GT265" s="307"/>
      <c r="GU265" s="307"/>
      <c r="GV265" s="307"/>
      <c r="GW265" s="307"/>
      <c r="GX265" s="307"/>
      <c r="GY265" s="307"/>
      <c r="GZ265" s="307"/>
      <c r="HA265" s="307"/>
      <c r="HB265" s="307"/>
      <c r="HC265" s="307"/>
      <c r="HD265" s="307"/>
      <c r="HE265" s="307"/>
      <c r="HF265" s="307"/>
      <c r="HG265" s="307"/>
      <c r="HH265" s="307"/>
      <c r="HI265" s="307"/>
      <c r="HJ265" s="307"/>
      <c r="HK265" s="307"/>
      <c r="HL265" s="307"/>
      <c r="HM265" s="307"/>
      <c r="HN265" s="307"/>
      <c r="HO265" s="307"/>
      <c r="HP265" s="307"/>
      <c r="HQ265" s="307"/>
      <c r="HR265" s="307"/>
      <c r="HS265" s="307"/>
      <c r="HT265" s="307"/>
      <c r="HU265" s="307"/>
      <c r="HV265" s="307"/>
      <c r="HW265" s="307"/>
      <c r="HX265" s="307"/>
      <c r="HY265" s="307"/>
      <c r="HZ265" s="307"/>
      <c r="IA265" s="307"/>
      <c r="IB265" s="307"/>
      <c r="IC265" s="307"/>
      <c r="ID265" s="307"/>
      <c r="IE265" s="307"/>
      <c r="IF265" s="307"/>
      <c r="IG265" s="307"/>
      <c r="IH265" s="307"/>
      <c r="II265" s="307"/>
    </row>
    <row r="266" spans="1:243" ht="13.35" customHeight="1" x14ac:dyDescent="0.25">
      <c r="A266" s="302"/>
      <c r="B266" s="308" t="s">
        <v>120</v>
      </c>
      <c r="C266" s="212"/>
      <c r="D266" s="309"/>
      <c r="E266" s="310"/>
      <c r="F266" s="311">
        <f>Assumptions!H41</f>
        <v>40</v>
      </c>
      <c r="K266" s="305"/>
      <c r="L266" s="306"/>
      <c r="M266" s="306"/>
      <c r="N266" s="306"/>
      <c r="P266" s="307"/>
      <c r="Q266" s="307"/>
      <c r="R266" s="307"/>
      <c r="S266" s="307"/>
      <c r="T266" s="307"/>
      <c r="U266" s="307"/>
      <c r="V266" s="307"/>
      <c r="W266" s="307"/>
      <c r="X266" s="307"/>
      <c r="Y266" s="307"/>
      <c r="Z266" s="307"/>
      <c r="AA266" s="307"/>
      <c r="AB266" s="307"/>
      <c r="AC266" s="307"/>
      <c r="AD266" s="307"/>
      <c r="AE266" s="307"/>
      <c r="AF266" s="307"/>
      <c r="AG266" s="307"/>
      <c r="AH266" s="307"/>
      <c r="AI266" s="307"/>
      <c r="AJ266" s="307"/>
      <c r="AK266" s="307"/>
      <c r="AL266" s="307"/>
      <c r="AM266" s="307"/>
      <c r="AN266" s="307"/>
      <c r="AO266" s="307"/>
      <c r="AP266" s="307"/>
      <c r="AQ266" s="307"/>
      <c r="AR266" s="307"/>
      <c r="AS266" s="307"/>
      <c r="AT266" s="307"/>
      <c r="AU266" s="307"/>
      <c r="AV266" s="307"/>
      <c r="AW266" s="307"/>
      <c r="AX266" s="307"/>
      <c r="AY266" s="307"/>
      <c r="AZ266" s="307"/>
      <c r="BA266" s="307"/>
      <c r="BB266" s="307"/>
      <c r="BC266" s="307"/>
      <c r="BD266" s="307"/>
      <c r="BE266" s="307"/>
      <c r="BF266" s="307"/>
      <c r="BG266" s="307"/>
      <c r="BH266" s="307"/>
      <c r="BI266" s="307"/>
      <c r="BJ266" s="307"/>
      <c r="BK266" s="307"/>
      <c r="BL266" s="307"/>
      <c r="BM266" s="307"/>
      <c r="BN266" s="307"/>
      <c r="BO266" s="307"/>
      <c r="BP266" s="307"/>
      <c r="BQ266" s="307"/>
      <c r="BR266" s="307"/>
      <c r="BS266" s="307"/>
      <c r="BT266" s="307"/>
      <c r="BU266" s="307"/>
      <c r="BV266" s="307"/>
      <c r="BW266" s="307"/>
      <c r="BX266" s="307"/>
      <c r="BY266" s="307"/>
      <c r="BZ266" s="307"/>
      <c r="CA266" s="307"/>
      <c r="CB266" s="307"/>
      <c r="CC266" s="307"/>
      <c r="CD266" s="307"/>
      <c r="CE266" s="307"/>
      <c r="CF266" s="307"/>
      <c r="CG266" s="307"/>
      <c r="CH266" s="307"/>
      <c r="CI266" s="307"/>
      <c r="CJ266" s="307"/>
      <c r="CK266" s="307"/>
      <c r="CL266" s="307"/>
      <c r="CM266" s="307"/>
      <c r="CN266" s="307"/>
      <c r="CO266" s="307"/>
      <c r="CP266" s="307"/>
      <c r="CQ266" s="307"/>
      <c r="CR266" s="307"/>
      <c r="CS266" s="307"/>
      <c r="CT266" s="307"/>
      <c r="CU266" s="307"/>
      <c r="CV266" s="307"/>
      <c r="CW266" s="307"/>
      <c r="CX266" s="307"/>
      <c r="CY266" s="307"/>
      <c r="CZ266" s="307"/>
      <c r="DA266" s="307"/>
      <c r="DB266" s="307"/>
      <c r="DC266" s="307"/>
      <c r="DD266" s="307"/>
      <c r="DE266" s="307"/>
      <c r="DF266" s="307"/>
      <c r="DG266" s="307"/>
      <c r="DH266" s="307"/>
      <c r="DI266" s="307"/>
      <c r="DJ266" s="307"/>
      <c r="DK266" s="307"/>
      <c r="DL266" s="307"/>
      <c r="DM266" s="307"/>
      <c r="DN266" s="307"/>
      <c r="DO266" s="307"/>
      <c r="DP266" s="307"/>
      <c r="DQ266" s="307"/>
      <c r="DR266" s="307"/>
      <c r="DS266" s="307"/>
      <c r="DT266" s="307"/>
      <c r="DU266" s="307"/>
      <c r="DV266" s="307"/>
      <c r="DW266" s="307"/>
      <c r="DX266" s="307"/>
      <c r="DY266" s="307"/>
      <c r="DZ266" s="307"/>
      <c r="EA266" s="307"/>
      <c r="EB266" s="307"/>
      <c r="EC266" s="307"/>
      <c r="ED266" s="307"/>
      <c r="EE266" s="307"/>
      <c r="EF266" s="307"/>
      <c r="EG266" s="307"/>
      <c r="EH266" s="307"/>
      <c r="EI266" s="307"/>
      <c r="EJ266" s="307"/>
      <c r="EK266" s="307"/>
      <c r="EL266" s="307"/>
      <c r="EM266" s="307"/>
      <c r="EN266" s="307"/>
      <c r="EO266" s="307"/>
      <c r="EP266" s="307"/>
      <c r="EQ266" s="307"/>
      <c r="ER266" s="307"/>
      <c r="ES266" s="307"/>
      <c r="ET266" s="307"/>
      <c r="EU266" s="307"/>
      <c r="EV266" s="307"/>
      <c r="EW266" s="307"/>
      <c r="EX266" s="307"/>
      <c r="EY266" s="307"/>
      <c r="EZ266" s="307"/>
      <c r="FA266" s="307"/>
      <c r="FB266" s="307"/>
      <c r="FC266" s="307"/>
      <c r="FD266" s="307"/>
      <c r="FE266" s="307"/>
      <c r="FF266" s="307"/>
      <c r="FG266" s="307"/>
      <c r="FH266" s="307"/>
      <c r="FI266" s="307"/>
      <c r="FJ266" s="307"/>
      <c r="FK266" s="307"/>
      <c r="FL266" s="307"/>
      <c r="FM266" s="307"/>
      <c r="FN266" s="307"/>
      <c r="FO266" s="307"/>
      <c r="FP266" s="307"/>
      <c r="FQ266" s="307"/>
      <c r="FR266" s="307"/>
      <c r="FS266" s="307"/>
      <c r="FT266" s="307"/>
      <c r="FU266" s="307"/>
      <c r="FV266" s="307"/>
      <c r="FW266" s="307"/>
      <c r="FX266" s="307"/>
      <c r="FY266" s="307"/>
      <c r="FZ266" s="307"/>
      <c r="GA266" s="307"/>
      <c r="GB266" s="307"/>
      <c r="GC266" s="307"/>
      <c r="GD266" s="307"/>
      <c r="GE266" s="307"/>
      <c r="GF266" s="307"/>
      <c r="GG266" s="307"/>
      <c r="GH266" s="307"/>
      <c r="GI266" s="307"/>
      <c r="GJ266" s="307"/>
      <c r="GK266" s="307"/>
      <c r="GL266" s="307"/>
      <c r="GM266" s="307"/>
      <c r="GN266" s="307"/>
      <c r="GO266" s="307"/>
      <c r="GP266" s="307"/>
      <c r="GQ266" s="307"/>
      <c r="GR266" s="307"/>
      <c r="GS266" s="307"/>
      <c r="GT266" s="307"/>
      <c r="GU266" s="307"/>
      <c r="GV266" s="307"/>
      <c r="GW266" s="307"/>
      <c r="GX266" s="307"/>
      <c r="GY266" s="307"/>
      <c r="GZ266" s="307"/>
      <c r="HA266" s="307"/>
      <c r="HB266" s="307"/>
      <c r="HC266" s="307"/>
      <c r="HD266" s="307"/>
      <c r="HE266" s="307"/>
      <c r="HF266" s="307"/>
      <c r="HG266" s="307"/>
      <c r="HH266" s="307"/>
      <c r="HI266" s="307"/>
      <c r="HJ266" s="307"/>
      <c r="HK266" s="307"/>
      <c r="HL266" s="307"/>
      <c r="HM266" s="307"/>
      <c r="HN266" s="307"/>
      <c r="HO266" s="307"/>
      <c r="HP266" s="307"/>
      <c r="HQ266" s="307"/>
      <c r="HR266" s="307"/>
      <c r="HS266" s="307"/>
      <c r="HT266" s="307"/>
      <c r="HU266" s="307"/>
      <c r="HV266" s="307"/>
      <c r="HW266" s="307"/>
      <c r="HX266" s="307"/>
      <c r="HY266" s="307"/>
      <c r="HZ266" s="307"/>
      <c r="IA266" s="307"/>
      <c r="IB266" s="307"/>
      <c r="IC266" s="307"/>
      <c r="ID266" s="307"/>
      <c r="IE266" s="307"/>
      <c r="IF266" s="307"/>
      <c r="IG266" s="307"/>
      <c r="IH266" s="307"/>
      <c r="II266" s="307"/>
    </row>
    <row r="267" spans="1:243" ht="12.75" customHeight="1" x14ac:dyDescent="0.25">
      <c r="K267" s="312"/>
    </row>
    <row r="268" spans="1:243" x14ac:dyDescent="0.25">
      <c r="D268" t="s">
        <v>121</v>
      </c>
      <c r="H268" s="313"/>
      <c r="I268" s="313"/>
      <c r="J268" s="313"/>
      <c r="K268" s="537">
        <f>J222/F265</f>
        <v>1921.1</v>
      </c>
      <c r="L268" s="537">
        <f>K268</f>
        <v>1921.1</v>
      </c>
      <c r="M268" s="537">
        <f>L268</f>
        <v>1921.1</v>
      </c>
      <c r="N268" s="537">
        <f>M268</f>
        <v>1921.1</v>
      </c>
      <c r="O268" s="537">
        <f>N268</f>
        <v>1921.1</v>
      </c>
    </row>
    <row r="270" spans="1:243" x14ac:dyDescent="0.25">
      <c r="D270" s="315" t="s">
        <v>88</v>
      </c>
    </row>
    <row r="271" spans="1:243" x14ac:dyDescent="0.25">
      <c r="D271" s="316">
        <f>K263</f>
        <v>2024</v>
      </c>
      <c r="E271" s="603">
        <f>-HLOOKUP(D271,$K$169:$O$182,ROWS($K$169:$K$182),FALSE)</f>
        <v>2500</v>
      </c>
      <c r="F271" s="317"/>
      <c r="H271" s="306"/>
      <c r="I271" s="306"/>
      <c r="J271" s="306"/>
      <c r="K271" s="318">
        <f>IF(K$263=$D271,$E271/$F$266/2,($E271/$F$266))</f>
        <v>31.25</v>
      </c>
      <c r="L271" s="318">
        <f>IF(L$263=$D271,$E271/$F$266/2,($E271/$F$266))</f>
        <v>62.5</v>
      </c>
      <c r="M271" s="318">
        <f>IF(M$263=$D271,$E271/$F$266/2,($E271/$F$266))</f>
        <v>62.5</v>
      </c>
      <c r="N271" s="318">
        <f>IF(N$263=$D271,$E271/$F$266/2,($E271/$F$266))</f>
        <v>62.5</v>
      </c>
      <c r="O271" s="318">
        <f>IF(O$263=$D271,$E271/$F$266/2,($E271/$F$266))</f>
        <v>62.5</v>
      </c>
    </row>
    <row r="272" spans="1:243" x14ac:dyDescent="0.25">
      <c r="D272" s="316">
        <f>D271+1</f>
        <v>2025</v>
      </c>
      <c r="E272" s="604">
        <f>-HLOOKUP(D272,$K$169:$O$182,ROWS($K$169:$K$182),FALSE)</f>
        <v>2750</v>
      </c>
      <c r="F272" s="317"/>
      <c r="H272" s="306"/>
      <c r="I272" s="306"/>
      <c r="J272" s="306"/>
      <c r="K272" s="318"/>
      <c r="L272" s="318">
        <f>IF(L$263=$D272,$E272/$F$266/2,($E272/$F$266))</f>
        <v>34.375</v>
      </c>
      <c r="M272" s="318">
        <f>IF(M$263=$D272,$E272/$F$266/2,($E272/$F$266))</f>
        <v>68.75</v>
      </c>
      <c r="N272" s="318">
        <f>IF(N$263=$D272,$E272/$F$266/2,($E272/$F$266))</f>
        <v>68.75</v>
      </c>
      <c r="O272" s="318">
        <f>IF(O$263=$D272,$E272/$F$266/2,($E272/$F$266))</f>
        <v>68.75</v>
      </c>
    </row>
    <row r="273" spans="1:17" x14ac:dyDescent="0.25">
      <c r="D273" s="316">
        <f>D272+1</f>
        <v>2026</v>
      </c>
      <c r="E273" s="604">
        <f>-HLOOKUP(D273,$K$169:$O$182,ROWS($K$169:$K$182),FALSE)</f>
        <v>3025.0000000000005</v>
      </c>
      <c r="F273" s="317"/>
      <c r="H273" s="228"/>
      <c r="I273" s="228"/>
      <c r="J273" s="228"/>
      <c r="K273" s="318"/>
      <c r="L273" s="318"/>
      <c r="M273" s="318">
        <f>IF(M$263=$D273,$E273/$F$266/2,($E273/$F$266))</f>
        <v>37.812500000000007</v>
      </c>
      <c r="N273" s="318">
        <f>IF(N$263=$D273,$E273/$F$266/2,($E273/$F$266))</f>
        <v>75.625000000000014</v>
      </c>
      <c r="O273" s="318">
        <f>IF(O$263=$D273,$E273/$F$266/2,($E273/$F$266))</f>
        <v>75.625000000000014</v>
      </c>
    </row>
    <row r="274" spans="1:17" x14ac:dyDescent="0.25">
      <c r="D274" s="316">
        <f>D273+1</f>
        <v>2027</v>
      </c>
      <c r="E274" s="604">
        <f>-HLOOKUP(D274,$K$169:$O$182,ROWS($K$169:$K$182),FALSE)</f>
        <v>3327.5000000000009</v>
      </c>
      <c r="F274" s="317"/>
      <c r="H274" s="228"/>
      <c r="I274" s="228"/>
      <c r="J274" s="228"/>
      <c r="K274" s="242"/>
      <c r="L274" s="318"/>
      <c r="M274" s="318"/>
      <c r="N274" s="318">
        <f>IF(N$263=$D274,$E274/$F$266/2,($E274/$F$266))</f>
        <v>41.593750000000014</v>
      </c>
      <c r="O274" s="318">
        <f>IF(O$263=$D274,$E274/$F$266/2,($E274/$F$266))</f>
        <v>83.187500000000028</v>
      </c>
    </row>
    <row r="275" spans="1:17" x14ac:dyDescent="0.25">
      <c r="D275" s="316">
        <f>D274+1</f>
        <v>2028</v>
      </c>
      <c r="E275" s="605">
        <f>-HLOOKUP(D275,$K$169:$O$182,ROWS($K$169:$K$182),FALSE)</f>
        <v>3660.2500000000014</v>
      </c>
      <c r="F275" s="317"/>
      <c r="H275" s="228"/>
      <c r="I275" s="228"/>
      <c r="J275" s="228"/>
      <c r="K275" s="242"/>
      <c r="L275" s="242"/>
      <c r="M275" s="318"/>
      <c r="N275" s="318"/>
      <c r="O275" s="318">
        <f>IF(O$263=$D275,$E275/$F$266/2,($E275/$F$266))</f>
        <v>45.753125000000018</v>
      </c>
    </row>
    <row r="276" spans="1:17" x14ac:dyDescent="0.25">
      <c r="F276" s="185"/>
      <c r="Q276" s="379"/>
    </row>
    <row r="277" spans="1:17" ht="15.75" thickBot="1" x14ac:dyDescent="0.3">
      <c r="D277" s="319" t="s">
        <v>122</v>
      </c>
      <c r="F277" s="185"/>
      <c r="K277" s="564">
        <f>SUM(K268:K275)</f>
        <v>1952.35</v>
      </c>
      <c r="L277" s="564">
        <f>SUM(L268:L275)</f>
        <v>2017.9749999999999</v>
      </c>
      <c r="M277" s="564">
        <f>SUM(M268:M275)</f>
        <v>2090.1624999999999</v>
      </c>
      <c r="N277" s="564">
        <f>SUM(N268:N275)</f>
        <v>2169.5687499999999</v>
      </c>
      <c r="O277" s="564">
        <f>SUM(O268:O275)</f>
        <v>2256.9156250000001</v>
      </c>
      <c r="Q277" s="379"/>
    </row>
    <row r="278" spans="1:17" ht="15.75" thickTop="1" x14ac:dyDescent="0.25">
      <c r="D278" s="319" t="s">
        <v>340</v>
      </c>
      <c r="F278" s="612">
        <f>Assumptions!H42</f>
        <v>0.8</v>
      </c>
      <c r="K278" s="429">
        <f>K277*$F$278</f>
        <v>1561.88</v>
      </c>
      <c r="L278" s="429">
        <f t="shared" ref="L278:O278" si="82">L277*$F$278</f>
        <v>1614.38</v>
      </c>
      <c r="M278" s="429">
        <f t="shared" si="82"/>
        <v>1672.13</v>
      </c>
      <c r="N278" s="429">
        <f t="shared" si="82"/>
        <v>1735.655</v>
      </c>
      <c r="O278" s="429">
        <f t="shared" si="82"/>
        <v>1805.5325000000003</v>
      </c>
      <c r="Q278" s="379"/>
    </row>
    <row r="279" spans="1:17" x14ac:dyDescent="0.25">
      <c r="D279" s="319" t="s">
        <v>341</v>
      </c>
      <c r="F279" s="185"/>
      <c r="K279" s="429">
        <f>K277*(1-$F$278)</f>
        <v>390.46999999999991</v>
      </c>
      <c r="L279" s="429">
        <f t="shared" ref="L279:O279" si="83">L277*(1-$F$278)</f>
        <v>403.59499999999991</v>
      </c>
      <c r="M279" s="429">
        <f t="shared" si="83"/>
        <v>418.03249999999991</v>
      </c>
      <c r="N279" s="429">
        <f t="shared" si="83"/>
        <v>433.91374999999988</v>
      </c>
      <c r="O279" s="429">
        <f t="shared" si="83"/>
        <v>451.38312499999989</v>
      </c>
      <c r="Q279" s="379"/>
    </row>
    <row r="280" spans="1:17" x14ac:dyDescent="0.25">
      <c r="B280" s="212"/>
      <c r="C280" s="212"/>
      <c r="D280" s="212"/>
      <c r="E280" s="212"/>
      <c r="F280" s="213"/>
      <c r="G280" s="212"/>
      <c r="H280" s="321"/>
      <c r="I280" s="321"/>
      <c r="J280" s="321"/>
      <c r="K280" s="321"/>
      <c r="L280" s="321"/>
      <c r="M280" s="321"/>
      <c r="N280" s="321"/>
      <c r="O280" s="212"/>
      <c r="Q280" s="314"/>
    </row>
    <row r="281" spans="1:17" x14ac:dyDescent="0.25">
      <c r="Q281" s="379"/>
    </row>
    <row r="282" spans="1:17" ht="12.75" customHeight="1" x14ac:dyDescent="0.35">
      <c r="A282" s="176"/>
      <c r="B282" s="177"/>
      <c r="C282" s="173"/>
      <c r="D282" s="173"/>
      <c r="E282" s="173"/>
      <c r="F282" s="174"/>
      <c r="G282" s="173"/>
      <c r="H282" s="173"/>
      <c r="I282" s="173"/>
      <c r="J282" s="173"/>
      <c r="K282" s="173"/>
      <c r="L282" s="173"/>
      <c r="M282" s="173"/>
      <c r="N282" s="173"/>
      <c r="O282" s="214" t="str">
        <f>$O$1</f>
        <v>CURRENTLY RUNNING: BASE CASE SCENARIO</v>
      </c>
    </row>
    <row r="283" spans="1:17" ht="22.7" customHeight="1" x14ac:dyDescent="0.4">
      <c r="B283" s="293" t="str">
        <f>B$2</f>
        <v>McDonald's Corporation</v>
      </c>
      <c r="C283" s="294"/>
      <c r="D283" s="294"/>
      <c r="E283" s="295"/>
      <c r="F283" s="295"/>
      <c r="G283" s="296"/>
      <c r="H283" s="296"/>
      <c r="I283" s="296"/>
      <c r="J283" s="296"/>
      <c r="K283" s="296"/>
      <c r="L283" s="296"/>
      <c r="M283" s="296"/>
      <c r="N283" s="296"/>
      <c r="O283" s="296"/>
    </row>
    <row r="284" spans="1:17" ht="18" x14ac:dyDescent="0.25">
      <c r="B284" s="179" t="s">
        <v>194</v>
      </c>
      <c r="C284" s="179"/>
      <c r="D284" s="179"/>
      <c r="E284" s="297"/>
      <c r="F284" s="297"/>
      <c r="G284" s="179"/>
      <c r="H284" s="179"/>
      <c r="I284" s="179"/>
      <c r="J284" s="179"/>
      <c r="K284" s="179"/>
      <c r="L284" s="179"/>
      <c r="M284" s="179"/>
      <c r="N284" s="179"/>
      <c r="O284" s="179"/>
    </row>
    <row r="285" spans="1:17" ht="3" customHeight="1" thickBot="1" x14ac:dyDescent="0.35">
      <c r="A285" s="178"/>
      <c r="B285" s="182"/>
      <c r="C285" s="183"/>
      <c r="D285" s="183"/>
      <c r="E285" s="183"/>
      <c r="F285" s="184"/>
      <c r="G285" s="183"/>
      <c r="H285" s="183"/>
      <c r="I285" s="183"/>
      <c r="J285" s="183"/>
      <c r="K285" s="183"/>
      <c r="L285" s="183"/>
      <c r="M285" s="183"/>
      <c r="N285" s="183"/>
      <c r="O285" s="183"/>
    </row>
    <row r="286" spans="1:17" x14ac:dyDescent="0.25">
      <c r="B286" s="236" t="str">
        <f>$B$167</f>
        <v>($ Millions)</v>
      </c>
      <c r="C286" s="264"/>
      <c r="E286" s="185"/>
      <c r="F286" s="185"/>
      <c r="G286" s="264"/>
    </row>
    <row r="287" spans="1:17" x14ac:dyDescent="0.25">
      <c r="E287" s="185"/>
      <c r="F287" s="185"/>
      <c r="K287" s="187" t="s">
        <v>2</v>
      </c>
      <c r="L287" s="298"/>
      <c r="M287" s="298"/>
      <c r="N287" s="298"/>
      <c r="O287" s="298"/>
    </row>
    <row r="288" spans="1:17" x14ac:dyDescent="0.25">
      <c r="C288" s="191"/>
      <c r="D288" s="191"/>
      <c r="E288" s="226"/>
      <c r="F288" s="299"/>
      <c r="G288" s="300"/>
      <c r="H288" s="190">
        <f t="shared" ref="H288:J288" si="84">H$7</f>
        <v>2021</v>
      </c>
      <c r="I288" s="190">
        <f t="shared" si="84"/>
        <v>2022</v>
      </c>
      <c r="J288" s="190">
        <f t="shared" si="84"/>
        <v>2023</v>
      </c>
      <c r="K288" s="301">
        <f>K$7</f>
        <v>2024</v>
      </c>
      <c r="L288" s="301">
        <f>L$7</f>
        <v>2025</v>
      </c>
      <c r="M288" s="301">
        <f>M$7</f>
        <v>2026</v>
      </c>
      <c r="N288" s="301">
        <f>N$7</f>
        <v>2027</v>
      </c>
      <c r="O288" s="301">
        <f>O$7</f>
        <v>2028</v>
      </c>
    </row>
    <row r="289" spans="1:243" x14ac:dyDescent="0.25">
      <c r="F289" s="185"/>
    </row>
    <row r="290" spans="1:243" ht="13.35" customHeight="1" x14ac:dyDescent="0.25">
      <c r="A290" s="302"/>
      <c r="B290" s="303" t="s">
        <v>119</v>
      </c>
      <c r="C290" s="248"/>
      <c r="D290" s="248"/>
      <c r="E290" s="248"/>
      <c r="F290" s="304">
        <f>Assumptions!H43</f>
        <v>10</v>
      </c>
      <c r="K290" s="305"/>
      <c r="L290" s="306"/>
      <c r="M290" s="306"/>
      <c r="N290" s="306"/>
      <c r="P290" s="307"/>
      <c r="Q290" s="307"/>
      <c r="R290" s="307"/>
      <c r="S290" s="307"/>
      <c r="T290" s="307"/>
      <c r="U290" s="307"/>
      <c r="V290" s="307"/>
      <c r="W290" s="307"/>
      <c r="X290" s="307"/>
      <c r="Y290" s="307"/>
      <c r="Z290" s="307"/>
      <c r="AA290" s="307"/>
      <c r="AB290" s="307"/>
      <c r="AC290" s="307"/>
      <c r="AD290" s="307"/>
      <c r="AE290" s="307"/>
      <c r="AF290" s="307"/>
      <c r="AG290" s="307"/>
      <c r="AH290" s="307"/>
      <c r="AI290" s="307"/>
      <c r="AJ290" s="307"/>
      <c r="AK290" s="307"/>
      <c r="AL290" s="307"/>
      <c r="AM290" s="307"/>
      <c r="AN290" s="307"/>
      <c r="AO290" s="307"/>
      <c r="AP290" s="307"/>
      <c r="AQ290" s="307"/>
      <c r="AR290" s="307"/>
      <c r="AS290" s="307"/>
      <c r="AT290" s="307"/>
      <c r="AU290" s="307"/>
      <c r="AV290" s="307"/>
      <c r="AW290" s="307"/>
      <c r="AX290" s="307"/>
      <c r="AY290" s="307"/>
      <c r="AZ290" s="307"/>
      <c r="BA290" s="307"/>
      <c r="BB290" s="307"/>
      <c r="BC290" s="307"/>
      <c r="BD290" s="307"/>
      <c r="BE290" s="307"/>
      <c r="BF290" s="307"/>
      <c r="BG290" s="307"/>
      <c r="BH290" s="307"/>
      <c r="BI290" s="307"/>
      <c r="BJ290" s="307"/>
      <c r="BK290" s="307"/>
      <c r="BL290" s="307"/>
      <c r="BM290" s="307"/>
      <c r="BN290" s="307"/>
      <c r="BO290" s="307"/>
      <c r="BP290" s="307"/>
      <c r="BQ290" s="307"/>
      <c r="BR290" s="307"/>
      <c r="BS290" s="307"/>
      <c r="BT290" s="307"/>
      <c r="BU290" s="307"/>
      <c r="BV290" s="307"/>
      <c r="BW290" s="307"/>
      <c r="BX290" s="307"/>
      <c r="BY290" s="307"/>
      <c r="BZ290" s="307"/>
      <c r="CA290" s="307"/>
      <c r="CB290" s="307"/>
      <c r="CC290" s="307"/>
      <c r="CD290" s="307"/>
      <c r="CE290" s="307"/>
      <c r="CF290" s="307"/>
      <c r="CG290" s="307"/>
      <c r="CH290" s="307"/>
      <c r="CI290" s="307"/>
      <c r="CJ290" s="307"/>
      <c r="CK290" s="307"/>
      <c r="CL290" s="307"/>
      <c r="CM290" s="307"/>
      <c r="CN290" s="307"/>
      <c r="CO290" s="307"/>
      <c r="CP290" s="307"/>
      <c r="CQ290" s="307"/>
      <c r="CR290" s="307"/>
      <c r="CS290" s="307"/>
      <c r="CT290" s="307"/>
      <c r="CU290" s="307"/>
      <c r="CV290" s="307"/>
      <c r="CW290" s="307"/>
      <c r="CX290" s="307"/>
      <c r="CY290" s="307"/>
      <c r="CZ290" s="307"/>
      <c r="DA290" s="307"/>
      <c r="DB290" s="307"/>
      <c r="DC290" s="307"/>
      <c r="DD290" s="307"/>
      <c r="DE290" s="307"/>
      <c r="DF290" s="307"/>
      <c r="DG290" s="307"/>
      <c r="DH290" s="307"/>
      <c r="DI290" s="307"/>
      <c r="DJ290" s="307"/>
      <c r="DK290" s="307"/>
      <c r="DL290" s="307"/>
      <c r="DM290" s="307"/>
      <c r="DN290" s="307"/>
      <c r="DO290" s="307"/>
      <c r="DP290" s="307"/>
      <c r="DQ290" s="307"/>
      <c r="DR290" s="307"/>
      <c r="DS290" s="307"/>
      <c r="DT290" s="307"/>
      <c r="DU290" s="307"/>
      <c r="DV290" s="307"/>
      <c r="DW290" s="307"/>
      <c r="DX290" s="307"/>
      <c r="DY290" s="307"/>
      <c r="DZ290" s="307"/>
      <c r="EA290" s="307"/>
      <c r="EB290" s="307"/>
      <c r="EC290" s="307"/>
      <c r="ED290" s="307"/>
      <c r="EE290" s="307"/>
      <c r="EF290" s="307"/>
      <c r="EG290" s="307"/>
      <c r="EH290" s="307"/>
      <c r="EI290" s="307"/>
      <c r="EJ290" s="307"/>
      <c r="EK290" s="307"/>
      <c r="EL290" s="307"/>
      <c r="EM290" s="307"/>
      <c r="EN290" s="307"/>
      <c r="EO290" s="307"/>
      <c r="EP290" s="307"/>
      <c r="EQ290" s="307"/>
      <c r="ER290" s="307"/>
      <c r="ES290" s="307"/>
      <c r="ET290" s="307"/>
      <c r="EU290" s="307"/>
      <c r="EV290" s="307"/>
      <c r="EW290" s="307"/>
      <c r="EX290" s="307"/>
      <c r="EY290" s="307"/>
      <c r="EZ290" s="307"/>
      <c r="FA290" s="307"/>
      <c r="FB290" s="307"/>
      <c r="FC290" s="307"/>
      <c r="FD290" s="307"/>
      <c r="FE290" s="307"/>
      <c r="FF290" s="307"/>
      <c r="FG290" s="307"/>
      <c r="FH290" s="307"/>
      <c r="FI290" s="307"/>
      <c r="FJ290" s="307"/>
      <c r="FK290" s="307"/>
      <c r="FL290" s="307"/>
      <c r="FM290" s="307"/>
      <c r="FN290" s="307"/>
      <c r="FO290" s="307"/>
      <c r="FP290" s="307"/>
      <c r="FQ290" s="307"/>
      <c r="FR290" s="307"/>
      <c r="FS290" s="307"/>
      <c r="FT290" s="307"/>
      <c r="FU290" s="307"/>
      <c r="FV290" s="307"/>
      <c r="FW290" s="307"/>
      <c r="FX290" s="307"/>
      <c r="FY290" s="307"/>
      <c r="FZ290" s="307"/>
      <c r="GA290" s="307"/>
      <c r="GB290" s="307"/>
      <c r="GC290" s="307"/>
      <c r="GD290" s="307"/>
      <c r="GE290" s="307"/>
      <c r="GF290" s="307"/>
      <c r="GG290" s="307"/>
      <c r="GH290" s="307"/>
      <c r="GI290" s="307"/>
      <c r="GJ290" s="307"/>
      <c r="GK290" s="307"/>
      <c r="GL290" s="307"/>
      <c r="GM290" s="307"/>
      <c r="GN290" s="307"/>
      <c r="GO290" s="307"/>
      <c r="GP290" s="307"/>
      <c r="GQ290" s="307"/>
      <c r="GR290" s="307"/>
      <c r="GS290" s="307"/>
      <c r="GT290" s="307"/>
      <c r="GU290" s="307"/>
      <c r="GV290" s="307"/>
      <c r="GW290" s="307"/>
      <c r="GX290" s="307"/>
      <c r="GY290" s="307"/>
      <c r="GZ290" s="307"/>
      <c r="HA290" s="307"/>
      <c r="HB290" s="307"/>
      <c r="HC290" s="307"/>
      <c r="HD290" s="307"/>
      <c r="HE290" s="307"/>
      <c r="HF290" s="307"/>
      <c r="HG290" s="307"/>
      <c r="HH290" s="307"/>
      <c r="HI290" s="307"/>
      <c r="HJ290" s="307"/>
      <c r="HK290" s="307"/>
      <c r="HL290" s="307"/>
      <c r="HM290" s="307"/>
      <c r="HN290" s="307"/>
      <c r="HO290" s="307"/>
      <c r="HP290" s="307"/>
      <c r="HQ290" s="307"/>
      <c r="HR290" s="307"/>
      <c r="HS290" s="307"/>
      <c r="HT290" s="307"/>
      <c r="HU290" s="307"/>
      <c r="HV290" s="307"/>
      <c r="HW290" s="307"/>
      <c r="HX290" s="307"/>
      <c r="HY290" s="307"/>
      <c r="HZ290" s="307"/>
      <c r="IA290" s="307"/>
      <c r="IB290" s="307"/>
      <c r="IC290" s="307"/>
      <c r="ID290" s="307"/>
      <c r="IE290" s="307"/>
      <c r="IF290" s="307"/>
      <c r="IG290" s="307"/>
      <c r="IH290" s="307"/>
      <c r="II290" s="307"/>
    </row>
    <row r="291" spans="1:243" ht="13.35" customHeight="1" x14ac:dyDescent="0.25">
      <c r="A291" s="302"/>
      <c r="B291" s="308" t="s">
        <v>120</v>
      </c>
      <c r="C291" s="212"/>
      <c r="D291" s="309"/>
      <c r="E291" s="310"/>
      <c r="F291" s="311">
        <f>F290</f>
        <v>10</v>
      </c>
      <c r="K291" s="305"/>
      <c r="L291" s="306"/>
      <c r="M291" s="306"/>
      <c r="N291" s="306"/>
      <c r="P291" s="307"/>
      <c r="Q291" s="307"/>
      <c r="R291" s="307"/>
      <c r="S291" s="307"/>
      <c r="T291" s="307"/>
      <c r="U291" s="307"/>
      <c r="V291" s="307"/>
      <c r="W291" s="307"/>
      <c r="X291" s="307"/>
      <c r="Y291" s="307"/>
      <c r="Z291" s="307"/>
      <c r="AA291" s="307"/>
      <c r="AB291" s="307"/>
      <c r="AC291" s="307"/>
      <c r="AD291" s="307"/>
      <c r="AE291" s="307"/>
      <c r="AF291" s="307"/>
      <c r="AG291" s="307"/>
      <c r="AH291" s="307"/>
      <c r="AI291" s="307"/>
      <c r="AJ291" s="307"/>
      <c r="AK291" s="307"/>
      <c r="AL291" s="307"/>
      <c r="AM291" s="307"/>
      <c r="AN291" s="307"/>
      <c r="AO291" s="307"/>
      <c r="AP291" s="307"/>
      <c r="AQ291" s="307"/>
      <c r="AR291" s="307"/>
      <c r="AS291" s="307"/>
      <c r="AT291" s="307"/>
      <c r="AU291" s="307"/>
      <c r="AV291" s="307"/>
      <c r="AW291" s="307"/>
      <c r="AX291" s="307"/>
      <c r="AY291" s="307"/>
      <c r="AZ291" s="307"/>
      <c r="BA291" s="307"/>
      <c r="BB291" s="307"/>
      <c r="BC291" s="307"/>
      <c r="BD291" s="307"/>
      <c r="BE291" s="307"/>
      <c r="BF291" s="307"/>
      <c r="BG291" s="307"/>
      <c r="BH291" s="307"/>
      <c r="BI291" s="307"/>
      <c r="BJ291" s="307"/>
      <c r="BK291" s="307"/>
      <c r="BL291" s="307"/>
      <c r="BM291" s="307"/>
      <c r="BN291" s="307"/>
      <c r="BO291" s="307"/>
      <c r="BP291" s="307"/>
      <c r="BQ291" s="307"/>
      <c r="BR291" s="307"/>
      <c r="BS291" s="307"/>
      <c r="BT291" s="307"/>
      <c r="BU291" s="307"/>
      <c r="BV291" s="307"/>
      <c r="BW291" s="307"/>
      <c r="BX291" s="307"/>
      <c r="BY291" s="307"/>
      <c r="BZ291" s="307"/>
      <c r="CA291" s="307"/>
      <c r="CB291" s="307"/>
      <c r="CC291" s="307"/>
      <c r="CD291" s="307"/>
      <c r="CE291" s="307"/>
      <c r="CF291" s="307"/>
      <c r="CG291" s="307"/>
      <c r="CH291" s="307"/>
      <c r="CI291" s="307"/>
      <c r="CJ291" s="307"/>
      <c r="CK291" s="307"/>
      <c r="CL291" s="307"/>
      <c r="CM291" s="307"/>
      <c r="CN291" s="307"/>
      <c r="CO291" s="307"/>
      <c r="CP291" s="307"/>
      <c r="CQ291" s="307"/>
      <c r="CR291" s="307"/>
      <c r="CS291" s="307"/>
      <c r="CT291" s="307"/>
      <c r="CU291" s="307"/>
      <c r="CV291" s="307"/>
      <c r="CW291" s="307"/>
      <c r="CX291" s="307"/>
      <c r="CY291" s="307"/>
      <c r="CZ291" s="307"/>
      <c r="DA291" s="307"/>
      <c r="DB291" s="307"/>
      <c r="DC291" s="307"/>
      <c r="DD291" s="307"/>
      <c r="DE291" s="307"/>
      <c r="DF291" s="307"/>
      <c r="DG291" s="307"/>
      <c r="DH291" s="307"/>
      <c r="DI291" s="307"/>
      <c r="DJ291" s="307"/>
      <c r="DK291" s="307"/>
      <c r="DL291" s="307"/>
      <c r="DM291" s="307"/>
      <c r="DN291" s="307"/>
      <c r="DO291" s="307"/>
      <c r="DP291" s="307"/>
      <c r="DQ291" s="307"/>
      <c r="DR291" s="307"/>
      <c r="DS291" s="307"/>
      <c r="DT291" s="307"/>
      <c r="DU291" s="307"/>
      <c r="DV291" s="307"/>
      <c r="DW291" s="307"/>
      <c r="DX291" s="307"/>
      <c r="DY291" s="307"/>
      <c r="DZ291" s="307"/>
      <c r="EA291" s="307"/>
      <c r="EB291" s="307"/>
      <c r="EC291" s="307"/>
      <c r="ED291" s="307"/>
      <c r="EE291" s="307"/>
      <c r="EF291" s="307"/>
      <c r="EG291" s="307"/>
      <c r="EH291" s="307"/>
      <c r="EI291" s="307"/>
      <c r="EJ291" s="307"/>
      <c r="EK291" s="307"/>
      <c r="EL291" s="307"/>
      <c r="EM291" s="307"/>
      <c r="EN291" s="307"/>
      <c r="EO291" s="307"/>
      <c r="EP291" s="307"/>
      <c r="EQ291" s="307"/>
      <c r="ER291" s="307"/>
      <c r="ES291" s="307"/>
      <c r="ET291" s="307"/>
      <c r="EU291" s="307"/>
      <c r="EV291" s="307"/>
      <c r="EW291" s="307"/>
      <c r="EX291" s="307"/>
      <c r="EY291" s="307"/>
      <c r="EZ291" s="307"/>
      <c r="FA291" s="307"/>
      <c r="FB291" s="307"/>
      <c r="FC291" s="307"/>
      <c r="FD291" s="307"/>
      <c r="FE291" s="307"/>
      <c r="FF291" s="307"/>
      <c r="FG291" s="307"/>
      <c r="FH291" s="307"/>
      <c r="FI291" s="307"/>
      <c r="FJ291" s="307"/>
      <c r="FK291" s="307"/>
      <c r="FL291" s="307"/>
      <c r="FM291" s="307"/>
      <c r="FN291" s="307"/>
      <c r="FO291" s="307"/>
      <c r="FP291" s="307"/>
      <c r="FQ291" s="307"/>
      <c r="FR291" s="307"/>
      <c r="FS291" s="307"/>
      <c r="FT291" s="307"/>
      <c r="FU291" s="307"/>
      <c r="FV291" s="307"/>
      <c r="FW291" s="307"/>
      <c r="FX291" s="307"/>
      <c r="FY291" s="307"/>
      <c r="FZ291" s="307"/>
      <c r="GA291" s="307"/>
      <c r="GB291" s="307"/>
      <c r="GC291" s="307"/>
      <c r="GD291" s="307"/>
      <c r="GE291" s="307"/>
      <c r="GF291" s="307"/>
      <c r="GG291" s="307"/>
      <c r="GH291" s="307"/>
      <c r="GI291" s="307"/>
      <c r="GJ291" s="307"/>
      <c r="GK291" s="307"/>
      <c r="GL291" s="307"/>
      <c r="GM291" s="307"/>
      <c r="GN291" s="307"/>
      <c r="GO291" s="307"/>
      <c r="GP291" s="307"/>
      <c r="GQ291" s="307"/>
      <c r="GR291" s="307"/>
      <c r="GS291" s="307"/>
      <c r="GT291" s="307"/>
      <c r="GU291" s="307"/>
      <c r="GV291" s="307"/>
      <c r="GW291" s="307"/>
      <c r="GX291" s="307"/>
      <c r="GY291" s="307"/>
      <c r="GZ291" s="307"/>
      <c r="HA291" s="307"/>
      <c r="HB291" s="307"/>
      <c r="HC291" s="307"/>
      <c r="HD291" s="307"/>
      <c r="HE291" s="307"/>
      <c r="HF291" s="307"/>
      <c r="HG291" s="307"/>
      <c r="HH291" s="307"/>
      <c r="HI291" s="307"/>
      <c r="HJ291" s="307"/>
      <c r="HK291" s="307"/>
      <c r="HL291" s="307"/>
      <c r="HM291" s="307"/>
      <c r="HN291" s="307"/>
      <c r="HO291" s="307"/>
      <c r="HP291" s="307"/>
      <c r="HQ291" s="307"/>
      <c r="HR291" s="307"/>
      <c r="HS291" s="307"/>
      <c r="HT291" s="307"/>
      <c r="HU291" s="307"/>
      <c r="HV291" s="307"/>
      <c r="HW291" s="307"/>
      <c r="HX291" s="307"/>
      <c r="HY291" s="307"/>
      <c r="HZ291" s="307"/>
      <c r="IA291" s="307"/>
      <c r="IB291" s="307"/>
      <c r="IC291" s="307"/>
      <c r="ID291" s="307"/>
      <c r="IE291" s="307"/>
      <c r="IF291" s="307"/>
      <c r="IG291" s="307"/>
      <c r="IH291" s="307"/>
      <c r="II291" s="307"/>
    </row>
    <row r="292" spans="1:243" ht="12.75" customHeight="1" x14ac:dyDescent="0.25">
      <c r="K292" s="312"/>
    </row>
    <row r="293" spans="1:243" x14ac:dyDescent="0.25">
      <c r="D293" t="s">
        <v>195</v>
      </c>
      <c r="H293" s="313"/>
      <c r="I293" s="313"/>
      <c r="J293" s="313"/>
      <c r="K293" s="537">
        <f>IFERROR(J225/F290,0)</f>
        <v>0</v>
      </c>
      <c r="L293" s="537">
        <f>K293</f>
        <v>0</v>
      </c>
      <c r="M293" s="537">
        <f>L293</f>
        <v>0</v>
      </c>
      <c r="N293" s="537">
        <f>M293</f>
        <v>0</v>
      </c>
      <c r="O293" s="537">
        <f>N293</f>
        <v>0</v>
      </c>
    </row>
    <row r="295" spans="1:243" x14ac:dyDescent="0.25">
      <c r="D295" s="315" t="s">
        <v>88</v>
      </c>
    </row>
    <row r="296" spans="1:243" x14ac:dyDescent="0.25">
      <c r="D296" s="316">
        <f>K288</f>
        <v>2024</v>
      </c>
      <c r="E296" s="625"/>
      <c r="F296" s="317"/>
      <c r="H296" s="306"/>
      <c r="I296" s="306"/>
      <c r="J296" s="306"/>
      <c r="K296" s="318">
        <f>IF(K$263=$D296,$E296/$F$266/2,($E296/$F$266))</f>
        <v>0</v>
      </c>
      <c r="L296" s="318">
        <f>IF(L$263=$D296,$E296/$F$266/2,($E296/$F$266))</f>
        <v>0</v>
      </c>
      <c r="M296" s="318">
        <f>IF(M$263=$D296,$E296/$F$266/2,($E296/$F$266))</f>
        <v>0</v>
      </c>
      <c r="N296" s="318">
        <f>IF(N$263=$D296,$E296/$F$266/2,($E296/$F$266))</f>
        <v>0</v>
      </c>
      <c r="O296" s="318">
        <f>IF(O$263=$D296,$E296/$F$266/2,($E296/$F$266))</f>
        <v>0</v>
      </c>
    </row>
    <row r="297" spans="1:243" x14ac:dyDescent="0.25">
      <c r="D297" s="316">
        <f>D296+1</f>
        <v>2025</v>
      </c>
      <c r="E297" s="626"/>
      <c r="F297" s="317"/>
      <c r="H297" s="306"/>
      <c r="I297" s="306"/>
      <c r="J297" s="306"/>
      <c r="K297" s="318"/>
      <c r="L297" s="318">
        <f>IF(L$263=$D297,$E297/$F$266/2,($E297/$F$266))</f>
        <v>0</v>
      </c>
      <c r="M297" s="318">
        <f>IF(M$263=$D297,$E297/$F$266/2,($E297/$F$266))</f>
        <v>0</v>
      </c>
      <c r="N297" s="318">
        <f>IF(N$263=$D297,$E297/$F$266/2,($E297/$F$266))</f>
        <v>0</v>
      </c>
      <c r="O297" s="318">
        <f>IF(O$263=$D297,$E297/$F$266/2,($E297/$F$266))</f>
        <v>0</v>
      </c>
    </row>
    <row r="298" spans="1:243" x14ac:dyDescent="0.25">
      <c r="D298" s="316">
        <f>D297+1</f>
        <v>2026</v>
      </c>
      <c r="E298" s="626"/>
      <c r="F298" s="317"/>
      <c r="H298" s="228"/>
      <c r="I298" s="228"/>
      <c r="J298" s="228"/>
      <c r="K298" s="318"/>
      <c r="L298" s="318"/>
      <c r="M298" s="318">
        <f>IF(M$263=$D298,$E298/$F$266/2,($E298/$F$266))</f>
        <v>0</v>
      </c>
      <c r="N298" s="318">
        <f>IF(N$263=$D298,$E298/$F$266/2,($E298/$F$266))</f>
        <v>0</v>
      </c>
      <c r="O298" s="318">
        <f>IF(O$263=$D298,$E298/$F$266/2,($E298/$F$266))</f>
        <v>0</v>
      </c>
    </row>
    <row r="299" spans="1:243" x14ac:dyDescent="0.25">
      <c r="D299" s="316">
        <f>D298+1</f>
        <v>2027</v>
      </c>
      <c r="E299" s="626"/>
      <c r="F299" s="317"/>
      <c r="H299" s="228"/>
      <c r="I299" s="228"/>
      <c r="J299" s="228"/>
      <c r="K299" s="242"/>
      <c r="L299" s="318"/>
      <c r="M299" s="318"/>
      <c r="N299" s="318">
        <f>IF(N$263=$D299,$E299/$F$266/2,($E299/$F$266))</f>
        <v>0</v>
      </c>
      <c r="O299" s="318">
        <f>IF(O$263=$D299,$E299/$F$266/2,($E299/$F$266))</f>
        <v>0</v>
      </c>
    </row>
    <row r="300" spans="1:243" x14ac:dyDescent="0.25">
      <c r="D300" s="316">
        <f>D299+1</f>
        <v>2028</v>
      </c>
      <c r="E300" s="627"/>
      <c r="F300" s="317"/>
      <c r="H300" s="228"/>
      <c r="I300" s="228"/>
      <c r="J300" s="228"/>
      <c r="K300" s="242"/>
      <c r="L300" s="242"/>
      <c r="M300" s="318"/>
      <c r="N300" s="318"/>
      <c r="O300" s="318">
        <f>IF(O$263=$D300,$E300/$F$266/2,($E300/$F$266))</f>
        <v>0</v>
      </c>
    </row>
    <row r="301" spans="1:243" x14ac:dyDescent="0.25">
      <c r="F301" s="185"/>
    </row>
    <row r="302" spans="1:243" ht="15.75" thickBot="1" x14ac:dyDescent="0.3">
      <c r="D302" s="319" t="s">
        <v>197</v>
      </c>
      <c r="F302" s="185"/>
      <c r="K302" s="320">
        <f>SUM(K293:K300)</f>
        <v>0</v>
      </c>
      <c r="L302" s="320">
        <f>SUM(L293:L300)</f>
        <v>0</v>
      </c>
      <c r="M302" s="320">
        <f>SUM(M293:M300)</f>
        <v>0</v>
      </c>
      <c r="N302" s="320">
        <f>SUM(N293:N300)</f>
        <v>0</v>
      </c>
      <c r="O302" s="320">
        <f>SUM(O293:O300)</f>
        <v>0</v>
      </c>
    </row>
    <row r="303" spans="1:243" ht="15.75" thickTop="1" x14ac:dyDescent="0.25">
      <c r="B303" s="212"/>
      <c r="C303" s="212"/>
      <c r="D303" s="212"/>
      <c r="E303" s="212"/>
      <c r="F303" s="213"/>
      <c r="G303" s="212"/>
      <c r="H303" s="321"/>
      <c r="I303" s="321"/>
      <c r="J303" s="321"/>
      <c r="K303" s="321"/>
      <c r="L303" s="321"/>
      <c r="M303" s="321"/>
      <c r="N303" s="321"/>
      <c r="O303" s="212"/>
    </row>
    <row r="305" spans="1:16" ht="12.75" customHeight="1" x14ac:dyDescent="0.35">
      <c r="A305" s="176"/>
      <c r="B305" s="177"/>
      <c r="C305" s="173"/>
      <c r="D305" s="173"/>
      <c r="E305" s="173"/>
      <c r="F305" s="174"/>
      <c r="G305" s="173"/>
      <c r="H305" s="173"/>
      <c r="I305" s="173"/>
      <c r="J305" s="173"/>
      <c r="K305" s="173"/>
      <c r="L305" s="173"/>
      <c r="M305" s="173"/>
      <c r="N305" s="173"/>
      <c r="O305" s="214" t="str">
        <f>$O$1</f>
        <v>CURRENTLY RUNNING: BASE CASE SCENARIO</v>
      </c>
    </row>
    <row r="306" spans="1:16" ht="23.25" x14ac:dyDescent="0.35">
      <c r="B306" s="177" t="str">
        <f>B$2</f>
        <v>McDonald's Corporation</v>
      </c>
      <c r="C306" s="173"/>
      <c r="D306" s="173"/>
      <c r="E306" s="173"/>
      <c r="F306" s="173"/>
      <c r="G306" s="173"/>
      <c r="H306" s="173"/>
      <c r="I306" s="173"/>
      <c r="J306" s="173"/>
      <c r="K306" s="173"/>
      <c r="L306" s="173"/>
      <c r="M306" s="173"/>
      <c r="N306" s="173"/>
      <c r="O306" s="173"/>
    </row>
    <row r="307" spans="1:16" ht="18" x14ac:dyDescent="0.25">
      <c r="B307" s="179" t="s">
        <v>123</v>
      </c>
      <c r="C307" s="173"/>
      <c r="D307" s="173"/>
      <c r="E307" s="173"/>
      <c r="F307" s="173"/>
      <c r="G307" s="173"/>
      <c r="H307" s="173"/>
      <c r="I307" s="173"/>
      <c r="J307" s="173"/>
      <c r="K307" s="173"/>
      <c r="L307" s="173"/>
      <c r="M307" s="173"/>
      <c r="N307" s="173"/>
      <c r="O307" s="173"/>
    </row>
    <row r="308" spans="1:16" ht="3" customHeight="1" thickBot="1" x14ac:dyDescent="0.35">
      <c r="A308" s="178"/>
      <c r="B308" s="182"/>
      <c r="C308" s="183"/>
      <c r="D308" s="183"/>
      <c r="E308" s="183"/>
      <c r="F308" s="184"/>
      <c r="G308" s="183"/>
      <c r="H308" s="183"/>
      <c r="I308" s="183"/>
      <c r="J308" s="183"/>
      <c r="K308" s="183"/>
      <c r="L308" s="183"/>
      <c r="M308" s="183"/>
      <c r="N308" s="183"/>
      <c r="O308" s="183"/>
    </row>
    <row r="309" spans="1:16" x14ac:dyDescent="0.25">
      <c r="B309" s="236" t="str">
        <f>$B$167</f>
        <v>($ Millions)</v>
      </c>
    </row>
    <row r="310" spans="1:16" x14ac:dyDescent="0.25">
      <c r="H310" s="282"/>
      <c r="I310" s="282"/>
      <c r="J310" s="282"/>
      <c r="K310" s="187" t="s">
        <v>2</v>
      </c>
      <c r="L310" s="188"/>
      <c r="M310" s="188"/>
      <c r="N310" s="188"/>
      <c r="O310" s="188"/>
    </row>
    <row r="311" spans="1:16" x14ac:dyDescent="0.25">
      <c r="B311" s="322"/>
      <c r="C311" s="323" t="s">
        <v>124</v>
      </c>
      <c r="D311" s="324"/>
      <c r="E311" s="325">
        <f>Assumptions!N16</f>
        <v>0.15</v>
      </c>
      <c r="H311" s="300"/>
      <c r="I311" s="300"/>
      <c r="J311" s="300"/>
      <c r="K311" s="267">
        <f>K$7</f>
        <v>2024</v>
      </c>
      <c r="L311" s="267">
        <f>L$7</f>
        <v>2025</v>
      </c>
      <c r="M311" s="267">
        <f>M$7</f>
        <v>2026</v>
      </c>
      <c r="N311" s="267">
        <f>N$7</f>
        <v>2027</v>
      </c>
      <c r="O311" s="267">
        <f>O$7</f>
        <v>2028</v>
      </c>
    </row>
    <row r="312" spans="1:16" x14ac:dyDescent="0.25">
      <c r="B312" s="322"/>
      <c r="C312" s="191"/>
      <c r="E312" s="326"/>
      <c r="H312" s="300"/>
      <c r="I312" s="300"/>
      <c r="J312" s="300"/>
      <c r="K312" s="267"/>
      <c r="L312" s="267"/>
      <c r="M312" s="267"/>
      <c r="N312" s="267"/>
      <c r="O312" s="267"/>
    </row>
    <row r="314" spans="1:16" x14ac:dyDescent="0.25">
      <c r="D314" s="193" t="s">
        <v>125</v>
      </c>
      <c r="H314" s="327" t="s">
        <v>126</v>
      </c>
      <c r="I314" s="306"/>
      <c r="J314" s="306"/>
      <c r="K314" s="565">
        <f>K143</f>
        <v>9465.1148300000004</v>
      </c>
      <c r="L314" s="565">
        <f>L143</f>
        <v>10048.113951470754</v>
      </c>
      <c r="M314" s="565">
        <f>M143</f>
        <v>10710.241392544833</v>
      </c>
      <c r="N314" s="565">
        <f>N143</f>
        <v>11415.833259032848</v>
      </c>
      <c r="O314" s="565">
        <f>O143</f>
        <v>12156.350764757211</v>
      </c>
    </row>
    <row r="315" spans="1:16" ht="6" customHeight="1" x14ac:dyDescent="0.25">
      <c r="E315" s="167"/>
      <c r="F315" s="167"/>
      <c r="H315" s="241"/>
      <c r="I315" s="241"/>
      <c r="J315" s="241"/>
      <c r="K315" s="241"/>
      <c r="L315" s="241"/>
      <c r="M315" s="241"/>
      <c r="N315" s="241"/>
      <c r="O315" s="241"/>
    </row>
    <row r="316" spans="1:16" x14ac:dyDescent="0.25">
      <c r="D316" t="s">
        <v>127</v>
      </c>
      <c r="K316" s="613">
        <f>Assumptions!J72</f>
        <v>-3000</v>
      </c>
      <c r="L316" s="613">
        <f>Assumptions!K72</f>
        <v>-3000</v>
      </c>
      <c r="M316" s="613">
        <f>Assumptions!L72</f>
        <v>-3000</v>
      </c>
      <c r="N316" s="613">
        <f>Assumptions!M72</f>
        <v>-3000</v>
      </c>
      <c r="O316" s="613">
        <f>Assumptions!N72</f>
        <v>-3000</v>
      </c>
    </row>
    <row r="317" spans="1:16" x14ac:dyDescent="0.25">
      <c r="D317" s="193" t="s">
        <v>128</v>
      </c>
      <c r="F317" s="167"/>
      <c r="H317" s="327" t="s">
        <v>129</v>
      </c>
      <c r="I317" s="328"/>
      <c r="J317" s="328"/>
      <c r="K317" s="565">
        <f>K314-K316</f>
        <v>12465.11483</v>
      </c>
      <c r="L317" s="565">
        <f>L314-L316</f>
        <v>13048.113951470754</v>
      </c>
      <c r="M317" s="565">
        <f>M314-M316</f>
        <v>13710.241392544833</v>
      </c>
      <c r="N317" s="565">
        <f>N314-N316</f>
        <v>14415.833259032848</v>
      </c>
      <c r="O317" s="565">
        <f>O314-O316</f>
        <v>15156.350764757211</v>
      </c>
    </row>
    <row r="318" spans="1:16" x14ac:dyDescent="0.25">
      <c r="E318" s="191"/>
      <c r="H318" s="306"/>
      <c r="I318" s="306"/>
      <c r="J318" s="306"/>
      <c r="K318" s="318"/>
      <c r="L318" s="318"/>
      <c r="M318" s="318"/>
      <c r="N318" s="318"/>
      <c r="O318" s="318"/>
      <c r="P318" s="242"/>
    </row>
    <row r="319" spans="1:16" x14ac:dyDescent="0.25">
      <c r="D319" s="197" t="str">
        <f>CONCATENATE("Accounting Taxes (",$E$311*100,"% of A)")</f>
        <v>Accounting Taxes (15% of A)</v>
      </c>
      <c r="E319" s="167"/>
      <c r="F319" s="241"/>
      <c r="G319" s="241"/>
      <c r="H319" s="306"/>
      <c r="I319" s="306"/>
      <c r="J319" s="306"/>
      <c r="K319" s="614">
        <f>$E$311*K314</f>
        <v>1419.7672245000001</v>
      </c>
      <c r="L319" s="614">
        <f>$E$311*L314</f>
        <v>1507.217092720613</v>
      </c>
      <c r="M319" s="614">
        <f>$E$311*M314</f>
        <v>1606.5362088817249</v>
      </c>
      <c r="N319" s="614">
        <f>$E$311*N314</f>
        <v>1712.3749888549271</v>
      </c>
      <c r="O319" s="614">
        <f>$E$311*O314</f>
        <v>1823.4526147135816</v>
      </c>
    </row>
    <row r="320" spans="1:16" x14ac:dyDescent="0.25">
      <c r="F320" s="329"/>
      <c r="H320" s="306"/>
      <c r="I320" s="306"/>
      <c r="J320" s="306"/>
      <c r="K320" s="614"/>
      <c r="L320" s="614"/>
      <c r="M320" s="614"/>
      <c r="N320" s="614"/>
      <c r="O320" s="614"/>
    </row>
    <row r="321" spans="1:15" x14ac:dyDescent="0.25">
      <c r="D321" s="247" t="s">
        <v>130</v>
      </c>
      <c r="E321" s="330"/>
      <c r="F321" s="331"/>
      <c r="G321" s="331"/>
      <c r="H321" s="331"/>
      <c r="I321" s="331"/>
      <c r="J321" s="331"/>
      <c r="K321" s="615"/>
      <c r="L321" s="615"/>
      <c r="M321" s="615"/>
      <c r="N321" s="615"/>
      <c r="O321" s="616"/>
    </row>
    <row r="322" spans="1:15" x14ac:dyDescent="0.25">
      <c r="D322" s="332" t="str">
        <f>CONCATENATE("Current Tax (",$E$311*100,"% of B)")</f>
        <v>Current Tax (15% of B)</v>
      </c>
      <c r="E322" s="167"/>
      <c r="F322" s="241"/>
      <c r="G322" s="333"/>
      <c r="H322" s="306"/>
      <c r="I322" s="306"/>
      <c r="J322" s="306"/>
      <c r="K322" s="614">
        <f>$E$311*K317</f>
        <v>1869.7672244999999</v>
      </c>
      <c r="L322" s="614">
        <f>$E$311*L317</f>
        <v>1957.217092720613</v>
      </c>
      <c r="M322" s="614">
        <f>$E$311*M317</f>
        <v>2056.5362088817246</v>
      </c>
      <c r="N322" s="614">
        <f>$E$311*N317</f>
        <v>2162.3749888549273</v>
      </c>
      <c r="O322" s="617">
        <f>$E$311*O317</f>
        <v>2273.4526147135816</v>
      </c>
    </row>
    <row r="323" spans="1:15" x14ac:dyDescent="0.25">
      <c r="D323" s="252" t="s">
        <v>131</v>
      </c>
      <c r="E323" s="167"/>
      <c r="F323" s="241"/>
      <c r="G323" s="241"/>
      <c r="H323" s="306"/>
      <c r="I323" s="306"/>
      <c r="J323" s="306"/>
      <c r="K323" s="618">
        <f>K319-K322</f>
        <v>-449.99999999999977</v>
      </c>
      <c r="L323" s="618">
        <f>L319-L322</f>
        <v>-450</v>
      </c>
      <c r="M323" s="618">
        <f>M319-M322</f>
        <v>-449.99999999999977</v>
      </c>
      <c r="N323" s="618">
        <f>N319-N322</f>
        <v>-450.00000000000023</v>
      </c>
      <c r="O323" s="619">
        <f>O319-O322</f>
        <v>-450</v>
      </c>
    </row>
    <row r="324" spans="1:15" x14ac:dyDescent="0.25">
      <c r="D324" s="334" t="s">
        <v>132</v>
      </c>
      <c r="E324" s="335"/>
      <c r="F324" s="336"/>
      <c r="G324" s="336"/>
      <c r="H324" s="337"/>
      <c r="I324" s="337"/>
      <c r="J324" s="337"/>
      <c r="K324" s="620">
        <f>SUM(K322:K323)</f>
        <v>1419.7672245000001</v>
      </c>
      <c r="L324" s="620">
        <f>SUM(L322:L323)</f>
        <v>1507.217092720613</v>
      </c>
      <c r="M324" s="620">
        <f>SUM(M322:M323)</f>
        <v>1606.5362088817249</v>
      </c>
      <c r="N324" s="620">
        <f>SUM(N322:N323)</f>
        <v>1712.3749888549271</v>
      </c>
      <c r="O324" s="621">
        <f>SUM(O322:O323)</f>
        <v>1823.4526147135816</v>
      </c>
    </row>
    <row r="325" spans="1:15" x14ac:dyDescent="0.25">
      <c r="E325" s="167"/>
      <c r="F325" s="241"/>
      <c r="G325" s="241"/>
      <c r="H325" s="241"/>
      <c r="I325" s="241"/>
      <c r="J325" s="241"/>
      <c r="K325" s="241"/>
      <c r="L325" s="241"/>
      <c r="M325" s="241"/>
      <c r="N325" s="241"/>
      <c r="O325" s="241"/>
    </row>
    <row r="326" spans="1:15" x14ac:dyDescent="0.25">
      <c r="C326" s="338" t="s">
        <v>133</v>
      </c>
      <c r="E326" s="167"/>
      <c r="F326" s="241"/>
      <c r="G326" s="241"/>
      <c r="H326" s="241"/>
      <c r="I326" s="241"/>
      <c r="J326" s="241"/>
      <c r="K326" s="241"/>
      <c r="L326" s="241"/>
      <c r="M326" s="241"/>
      <c r="N326" s="241"/>
      <c r="O326" s="241"/>
    </row>
    <row r="327" spans="1:15" ht="6" customHeight="1" x14ac:dyDescent="0.25">
      <c r="B327" s="212"/>
      <c r="C327" s="212"/>
      <c r="D327" s="212"/>
      <c r="E327" s="339"/>
      <c r="F327" s="339"/>
      <c r="G327" s="340"/>
      <c r="H327" s="340"/>
      <c r="I327" s="340"/>
      <c r="J327" s="340"/>
      <c r="K327" s="340"/>
      <c r="L327" s="340"/>
      <c r="M327" s="340"/>
      <c r="N327" s="340"/>
      <c r="O327" s="212"/>
    </row>
    <row r="328" spans="1:15" x14ac:dyDescent="0.25">
      <c r="F328" s="185"/>
    </row>
    <row r="329" spans="1:15" ht="12.75" customHeight="1" x14ac:dyDescent="0.35">
      <c r="A329" s="176"/>
      <c r="B329" s="177"/>
      <c r="C329" s="173"/>
      <c r="D329" s="173"/>
      <c r="E329" s="173"/>
      <c r="F329" s="174"/>
      <c r="G329" s="173"/>
      <c r="H329" s="173"/>
      <c r="I329" s="173"/>
      <c r="J329" s="173"/>
      <c r="K329" s="173"/>
      <c r="L329" s="173"/>
      <c r="M329" s="173"/>
      <c r="N329" s="173"/>
      <c r="O329" s="214" t="str">
        <f>$O$1</f>
        <v>CURRENTLY RUNNING: BASE CASE SCENARIO</v>
      </c>
    </row>
    <row r="330" spans="1:15" ht="23.25" x14ac:dyDescent="0.35">
      <c r="B330" s="177" t="str">
        <f>B$2</f>
        <v>McDonald's Corporation</v>
      </c>
      <c r="C330" s="173"/>
      <c r="D330" s="173"/>
      <c r="E330" s="173"/>
      <c r="F330" s="173"/>
      <c r="G330" s="173"/>
      <c r="H330" s="173"/>
      <c r="I330" s="173"/>
      <c r="J330" s="173"/>
      <c r="K330" s="173"/>
      <c r="L330" s="173"/>
      <c r="M330" s="173"/>
      <c r="N330" s="173"/>
      <c r="O330" s="173"/>
    </row>
    <row r="331" spans="1:15" ht="18" x14ac:dyDescent="0.25">
      <c r="B331" s="179" t="s">
        <v>134</v>
      </c>
      <c r="C331" s="173"/>
      <c r="D331" s="173"/>
      <c r="E331" s="173"/>
      <c r="F331" s="173"/>
      <c r="G331" s="173"/>
      <c r="H331" s="173"/>
      <c r="I331" s="173"/>
      <c r="J331" s="173"/>
      <c r="K331" s="173"/>
      <c r="L331" s="173"/>
      <c r="M331" s="173"/>
      <c r="N331" s="173"/>
      <c r="O331" s="173"/>
    </row>
    <row r="332" spans="1:15" ht="3" customHeight="1" thickBot="1" x14ac:dyDescent="0.35">
      <c r="A332" s="178"/>
      <c r="B332" s="182"/>
      <c r="C332" s="183"/>
      <c r="D332" s="183"/>
      <c r="E332" s="183"/>
      <c r="F332" s="184"/>
      <c r="G332" s="183"/>
      <c r="H332" s="183"/>
      <c r="I332" s="183"/>
      <c r="J332" s="183"/>
      <c r="K332" s="183"/>
      <c r="L332" s="183"/>
      <c r="M332" s="183"/>
      <c r="N332" s="183"/>
      <c r="O332" s="183"/>
    </row>
    <row r="333" spans="1:15" x14ac:dyDescent="0.25">
      <c r="B333" s="236" t="str">
        <f>$B$167</f>
        <v>($ Millions)</v>
      </c>
      <c r="O333" s="197"/>
    </row>
    <row r="334" spans="1:15" x14ac:dyDescent="0.25">
      <c r="H334" s="173"/>
      <c r="I334" s="173"/>
      <c r="J334" s="173"/>
      <c r="K334" s="187" t="s">
        <v>2</v>
      </c>
      <c r="L334" s="188"/>
      <c r="M334" s="188"/>
      <c r="N334" s="188"/>
      <c r="O334" s="188"/>
    </row>
    <row r="335" spans="1:15" ht="12" customHeight="1" x14ac:dyDescent="0.25">
      <c r="G335" s="266"/>
      <c r="H335" s="190">
        <f t="shared" ref="H335:J335" si="85">H$7</f>
        <v>2021</v>
      </c>
      <c r="I335" s="190">
        <f t="shared" si="85"/>
        <v>2022</v>
      </c>
      <c r="J335" s="190">
        <f t="shared" si="85"/>
        <v>2023</v>
      </c>
      <c r="K335" s="267">
        <f>K$7</f>
        <v>2024</v>
      </c>
      <c r="L335" s="267">
        <f>L$7</f>
        <v>2025</v>
      </c>
      <c r="M335" s="267">
        <f>M$7</f>
        <v>2026</v>
      </c>
      <c r="N335" s="267">
        <f>N$7</f>
        <v>2027</v>
      </c>
      <c r="O335" s="267">
        <f>O$7</f>
        <v>2028</v>
      </c>
    </row>
    <row r="336" spans="1:15" ht="12" customHeight="1" x14ac:dyDescent="0.25"/>
    <row r="337" spans="2:17" x14ac:dyDescent="0.25">
      <c r="B337" s="238" t="s">
        <v>135</v>
      </c>
      <c r="C337" s="239"/>
      <c r="D337" s="239"/>
      <c r="E337" s="239"/>
      <c r="F337" s="341" t="s">
        <v>136</v>
      </c>
      <c r="G337" s="239"/>
      <c r="H337" s="239"/>
      <c r="I337" s="342">
        <f t="shared" ref="I337:O337" si="86">DATE(I335,12,31)-DATE(H335,12,31)</f>
        <v>365</v>
      </c>
      <c r="J337" s="342">
        <f t="shared" si="86"/>
        <v>365</v>
      </c>
      <c r="K337" s="342">
        <f t="shared" si="86"/>
        <v>366</v>
      </c>
      <c r="L337" s="342">
        <f t="shared" si="86"/>
        <v>365</v>
      </c>
      <c r="M337" s="342">
        <f t="shared" si="86"/>
        <v>365</v>
      </c>
      <c r="N337" s="342">
        <f t="shared" si="86"/>
        <v>365</v>
      </c>
      <c r="O337" s="343">
        <f t="shared" si="86"/>
        <v>366</v>
      </c>
    </row>
    <row r="338" spans="2:17" x14ac:dyDescent="0.25">
      <c r="F338" s="194"/>
    </row>
    <row r="339" spans="2:17" x14ac:dyDescent="0.25">
      <c r="B339" s="191" t="s">
        <v>5</v>
      </c>
      <c r="F339" s="194"/>
    </row>
    <row r="340" spans="2:17" x14ac:dyDescent="0.25">
      <c r="C340" t="s">
        <v>6</v>
      </c>
      <c r="F340" s="194" t="s">
        <v>293</v>
      </c>
      <c r="I340" s="396">
        <f t="shared" ref="I340:O340" si="87">I118</f>
        <v>23182.6</v>
      </c>
      <c r="J340" s="396">
        <f t="shared" si="87"/>
        <v>25493.699999999997</v>
      </c>
      <c r="K340" s="396">
        <f t="shared" si="87"/>
        <v>26579.271949999998</v>
      </c>
      <c r="L340" s="396">
        <f t="shared" si="87"/>
        <v>27775.339187749996</v>
      </c>
      <c r="M340" s="396">
        <f t="shared" si="87"/>
        <v>29025.229451198746</v>
      </c>
      <c r="N340" s="396">
        <f t="shared" si="87"/>
        <v>30331.364776502684</v>
      </c>
      <c r="O340" s="396">
        <f t="shared" si="87"/>
        <v>31696.276191445304</v>
      </c>
    </row>
    <row r="341" spans="2:17" x14ac:dyDescent="0.25">
      <c r="C341" t="s">
        <v>73</v>
      </c>
      <c r="F341" s="194" t="s">
        <v>293</v>
      </c>
      <c r="I341" s="396">
        <f t="shared" ref="I341:O341" si="88">I127</f>
        <v>9975.4</v>
      </c>
      <c r="J341" s="396">
        <f t="shared" si="88"/>
        <v>10931.2</v>
      </c>
      <c r="K341" s="396">
        <f t="shared" si="88"/>
        <v>11765.797119999999</v>
      </c>
      <c r="L341" s="396">
        <f t="shared" si="88"/>
        <v>12295.257990399999</v>
      </c>
      <c r="M341" s="396">
        <f t="shared" si="88"/>
        <v>12848.544599967998</v>
      </c>
      <c r="N341" s="396">
        <f t="shared" si="88"/>
        <v>13426.729106966559</v>
      </c>
      <c r="O341" s="396">
        <f t="shared" si="88"/>
        <v>14030.93191678005</v>
      </c>
    </row>
    <row r="342" spans="2:17" x14ac:dyDescent="0.25">
      <c r="F342" s="194"/>
    </row>
    <row r="343" spans="2:17" x14ac:dyDescent="0.25">
      <c r="B343" s="345" t="s">
        <v>137</v>
      </c>
      <c r="C343" s="346"/>
      <c r="F343" s="194"/>
    </row>
    <row r="344" spans="2:17" x14ac:dyDescent="0.25">
      <c r="B344" s="347"/>
      <c r="C344" s="346" t="s">
        <v>48</v>
      </c>
      <c r="F344" s="194" t="s">
        <v>136</v>
      </c>
      <c r="G344" s="348"/>
      <c r="H344" s="349"/>
      <c r="I344" s="344">
        <f>I354/I340*I337</f>
        <v>33.299759302235294</v>
      </c>
      <c r="J344" s="344">
        <f>J354/J340*J337</f>
        <v>35.621349588329672</v>
      </c>
      <c r="K344" s="350">
        <f>Assumptions!J75</f>
        <v>34.460554445282483</v>
      </c>
      <c r="L344" s="350">
        <f>Assumptions!K75</f>
        <v>34.460554445282483</v>
      </c>
      <c r="M344" s="350">
        <f>Assumptions!L75</f>
        <v>34.460554445282483</v>
      </c>
      <c r="N344" s="350">
        <f>Assumptions!M75</f>
        <v>34.460554445282483</v>
      </c>
      <c r="O344" s="350">
        <f>Assumptions!N75</f>
        <v>34.460554445282483</v>
      </c>
      <c r="Q344" s="520"/>
    </row>
    <row r="345" spans="2:17" x14ac:dyDescent="0.25">
      <c r="B345" s="347"/>
      <c r="C345" s="351" t="s">
        <v>50</v>
      </c>
      <c r="F345" s="194" t="s">
        <v>136</v>
      </c>
      <c r="G345" s="348"/>
      <c r="H345" s="349"/>
      <c r="I345" s="344">
        <f>I355/I341*I337</f>
        <v>1.9026805942618845</v>
      </c>
      <c r="J345" s="344">
        <f>J355/J341*J337</f>
        <v>1.7630269320843088</v>
      </c>
      <c r="K345" s="350">
        <f>Assumptions!J76</f>
        <v>1.8328537631730968</v>
      </c>
      <c r="L345" s="350">
        <f>Assumptions!K76</f>
        <v>1.8328537631730968</v>
      </c>
      <c r="M345" s="350">
        <f>Assumptions!L76</f>
        <v>1.8328537631730968</v>
      </c>
      <c r="N345" s="350">
        <f>Assumptions!M76</f>
        <v>1.8328537631730968</v>
      </c>
      <c r="O345" s="350">
        <f>Assumptions!N76</f>
        <v>1.8328537631730968</v>
      </c>
      <c r="Q345" s="520"/>
    </row>
    <row r="346" spans="2:17" x14ac:dyDescent="0.25">
      <c r="B346" s="347"/>
      <c r="C346" s="351" t="s">
        <v>51</v>
      </c>
      <c r="F346" s="194" t="s">
        <v>136</v>
      </c>
      <c r="G346" s="352"/>
      <c r="H346" s="353"/>
      <c r="I346" s="211">
        <f>I356/I341*I337</f>
        <v>24.639713695691402</v>
      </c>
      <c r="J346" s="211">
        <f>J356/J341*J337</f>
        <v>28.926330137587822</v>
      </c>
      <c r="K346" s="350">
        <f>Assumptions!J77</f>
        <v>26.783021916639612</v>
      </c>
      <c r="L346" s="350">
        <f>Assumptions!K77</f>
        <v>26.783021916639612</v>
      </c>
      <c r="M346" s="350">
        <f>Assumptions!L77</f>
        <v>26.783021916639612</v>
      </c>
      <c r="N346" s="350">
        <f>Assumptions!M77</f>
        <v>26.783021916639612</v>
      </c>
      <c r="O346" s="350">
        <f>Assumptions!N77</f>
        <v>26.783021916639612</v>
      </c>
      <c r="Q346" s="520"/>
    </row>
    <row r="347" spans="2:17" x14ac:dyDescent="0.25">
      <c r="B347" s="347"/>
      <c r="C347" s="351" t="s">
        <v>52</v>
      </c>
      <c r="F347" s="194" t="s">
        <v>136</v>
      </c>
      <c r="G347" s="352"/>
      <c r="H347" s="353"/>
      <c r="I347" s="211">
        <f>I357/I341*I337</f>
        <v>0</v>
      </c>
      <c r="J347" s="211">
        <f>J357/J341*J337</f>
        <v>0</v>
      </c>
      <c r="K347" s="350">
        <f>Assumptions!J78</f>
        <v>0</v>
      </c>
      <c r="L347" s="350">
        <f>Assumptions!K78</f>
        <v>0</v>
      </c>
      <c r="M347" s="350">
        <f>Assumptions!L78</f>
        <v>0</v>
      </c>
      <c r="N347" s="350">
        <f>Assumptions!M78</f>
        <v>0</v>
      </c>
      <c r="O347" s="350">
        <f>Assumptions!N78</f>
        <v>0</v>
      </c>
      <c r="Q347" s="520"/>
    </row>
    <row r="348" spans="2:17" x14ac:dyDescent="0.25">
      <c r="B348" s="347"/>
      <c r="C348" t="s">
        <v>181</v>
      </c>
      <c r="F348" s="194" t="s">
        <v>136</v>
      </c>
      <c r="G348" s="352"/>
      <c r="H348" s="353"/>
      <c r="I348" s="211">
        <f>I358/I341*I337</f>
        <v>0</v>
      </c>
      <c r="J348" s="211">
        <f>J358/J341*J337</f>
        <v>73.205686475409834</v>
      </c>
      <c r="K348" s="350">
        <f>Assumptions!J79</f>
        <v>36.602843237704917</v>
      </c>
      <c r="L348" s="350">
        <f>Assumptions!K79</f>
        <v>36.602843237704917</v>
      </c>
      <c r="M348" s="350">
        <f>Assumptions!L79</f>
        <v>36.602843237704917</v>
      </c>
      <c r="N348" s="350">
        <f>Assumptions!M79</f>
        <v>36.602843237704917</v>
      </c>
      <c r="O348" s="350">
        <f>Assumptions!N79</f>
        <v>36.602843237704917</v>
      </c>
      <c r="Q348" s="520"/>
    </row>
    <row r="349" spans="2:17" x14ac:dyDescent="0.25">
      <c r="B349" s="347"/>
      <c r="C349" s="346" t="s">
        <v>53</v>
      </c>
      <c r="F349" s="194" t="s">
        <v>136</v>
      </c>
      <c r="G349" s="352"/>
      <c r="H349" s="353"/>
      <c r="I349" s="211">
        <f>I359/I$341*I$337</f>
        <v>35.865529201836523</v>
      </c>
      <c r="J349" s="211">
        <f>J359/J$341*J$337</f>
        <v>36.826560670374711</v>
      </c>
      <c r="K349" s="350">
        <f>Assumptions!J80</f>
        <v>36.346044936105613</v>
      </c>
      <c r="L349" s="350">
        <f>Assumptions!K80</f>
        <v>36.346044936105613</v>
      </c>
      <c r="M349" s="350">
        <f>Assumptions!L80</f>
        <v>36.346044936105613</v>
      </c>
      <c r="N349" s="350">
        <f>Assumptions!M80</f>
        <v>36.346044936105613</v>
      </c>
      <c r="O349" s="350">
        <f>Assumptions!N80</f>
        <v>36.346044936105613</v>
      </c>
      <c r="Q349" s="520"/>
    </row>
    <row r="350" spans="2:17" x14ac:dyDescent="0.25">
      <c r="B350" s="347"/>
      <c r="C350" s="346" t="s">
        <v>180</v>
      </c>
      <c r="F350" s="194" t="s">
        <v>136</v>
      </c>
      <c r="G350" s="352"/>
      <c r="H350" s="353"/>
      <c r="I350" s="211">
        <f>I360/I$341*I$337</f>
        <v>87.398901297191102</v>
      </c>
      <c r="J350" s="211">
        <f>J360/J$341*J$337</f>
        <v>89.907695403981251</v>
      </c>
      <c r="K350" s="350">
        <f>Assumptions!J81</f>
        <v>88.653298350586169</v>
      </c>
      <c r="L350" s="350">
        <f>Assumptions!K81</f>
        <v>88.653298350586169</v>
      </c>
      <c r="M350" s="350">
        <f>Assumptions!L81</f>
        <v>88.653298350586169</v>
      </c>
      <c r="N350" s="350">
        <f>Assumptions!M81</f>
        <v>88.653298350586169</v>
      </c>
      <c r="O350" s="350">
        <f>Assumptions!N81</f>
        <v>88.653298350586169</v>
      </c>
      <c r="Q350" s="520"/>
    </row>
    <row r="351" spans="2:17" x14ac:dyDescent="0.25">
      <c r="B351" s="347"/>
      <c r="C351" s="346" t="s">
        <v>54</v>
      </c>
      <c r="F351" s="194" t="s">
        <v>136</v>
      </c>
      <c r="G351" s="352"/>
      <c r="H351" s="353"/>
      <c r="I351" s="211">
        <f>I361/I341*I337</f>
        <v>19.392706056899975</v>
      </c>
      <c r="J351" s="211">
        <f>J361/J341*J337</f>
        <v>32.492452795667447</v>
      </c>
      <c r="K351" s="350">
        <f>Assumptions!J82</f>
        <v>25.942579426283711</v>
      </c>
      <c r="L351" s="350">
        <f>Assumptions!K82</f>
        <v>25.942579426283711</v>
      </c>
      <c r="M351" s="350">
        <f>Assumptions!L82</f>
        <v>25.942579426283711</v>
      </c>
      <c r="N351" s="350">
        <f>Assumptions!M82</f>
        <v>25.942579426283711</v>
      </c>
      <c r="O351" s="350">
        <f>Assumptions!N82</f>
        <v>25.942579426283711</v>
      </c>
      <c r="Q351" s="520"/>
    </row>
    <row r="352" spans="2:17" x14ac:dyDescent="0.25">
      <c r="B352" s="347"/>
      <c r="C352" s="346"/>
      <c r="F352" s="194"/>
      <c r="H352" s="316"/>
      <c r="I352" s="316"/>
      <c r="J352" s="316"/>
      <c r="K352" s="316"/>
      <c r="L352" s="316"/>
      <c r="M352" s="316"/>
      <c r="N352" s="316"/>
      <c r="O352" s="316"/>
    </row>
    <row r="353" spans="1:15" x14ac:dyDescent="0.25">
      <c r="B353" s="345" t="s">
        <v>138</v>
      </c>
      <c r="C353" s="346"/>
      <c r="F353" s="194"/>
      <c r="H353" s="316"/>
      <c r="I353" s="316"/>
      <c r="J353" s="316"/>
      <c r="K353" s="316"/>
      <c r="L353" s="316"/>
      <c r="M353" s="316"/>
      <c r="N353" s="316"/>
      <c r="O353" s="316"/>
    </row>
    <row r="354" spans="1:15" x14ac:dyDescent="0.25">
      <c r="B354" s="347"/>
      <c r="C354" s="346" t="s">
        <v>48</v>
      </c>
      <c r="F354" s="194" t="s">
        <v>293</v>
      </c>
      <c r="I354" s="396">
        <f t="shared" ref="I354:J356" si="89">I215</f>
        <v>2115</v>
      </c>
      <c r="J354" s="396">
        <f t="shared" si="89"/>
        <v>2488</v>
      </c>
      <c r="K354" s="396">
        <f>K340/K337*K344</f>
        <v>2502.5586014998485</v>
      </c>
      <c r="L354" s="396">
        <f>L340/L337*L344</f>
        <v>2622.3385981250599</v>
      </c>
      <c r="M354" s="396">
        <f>M340/M337*M344</f>
        <v>2740.3438350406873</v>
      </c>
      <c r="N354" s="396">
        <f>N340/N337*N344</f>
        <v>2863.6593076175182</v>
      </c>
      <c r="O354" s="396">
        <f>O340/O337*O344</f>
        <v>2984.3476814426554</v>
      </c>
    </row>
    <row r="355" spans="1:15" x14ac:dyDescent="0.25">
      <c r="B355" s="347"/>
      <c r="C355" s="351" t="s">
        <v>50</v>
      </c>
      <c r="F355" s="194" t="s">
        <v>293</v>
      </c>
      <c r="I355" s="396">
        <f t="shared" si="89"/>
        <v>52</v>
      </c>
      <c r="J355" s="396">
        <f t="shared" si="89"/>
        <v>52.8</v>
      </c>
      <c r="K355" s="396">
        <f>K341/K337*K345</f>
        <v>58.920725486675359</v>
      </c>
      <c r="L355" s="396">
        <f>L341/L337*L345</f>
        <v>61.740848977777333</v>
      </c>
      <c r="M355" s="396">
        <f>M341/M337*M345</f>
        <v>64.519187181777298</v>
      </c>
      <c r="N355" s="396">
        <f>N341/N337*N345</f>
        <v>67.42255060495728</v>
      </c>
      <c r="O355" s="396">
        <f>O341/O337*O345</f>
        <v>70.264061105179849</v>
      </c>
    </row>
    <row r="356" spans="1:15" x14ac:dyDescent="0.25">
      <c r="B356" s="347"/>
      <c r="C356" s="351" t="s">
        <v>51</v>
      </c>
      <c r="F356" s="194" t="s">
        <v>293</v>
      </c>
      <c r="I356" s="396">
        <f t="shared" si="89"/>
        <v>673.4</v>
      </c>
      <c r="J356" s="396">
        <f t="shared" si="89"/>
        <v>866.3</v>
      </c>
      <c r="K356" s="396">
        <f>K341/K337*K346</f>
        <v>860.99344844725465</v>
      </c>
      <c r="L356" s="396">
        <f>L341/L337*L346</f>
        <v>902.20318966471643</v>
      </c>
      <c r="M356" s="396">
        <f>M341/M337*M346</f>
        <v>942.80233319962849</v>
      </c>
      <c r="N356" s="396">
        <f>N341/N337*N346</f>
        <v>985.22843819361185</v>
      </c>
      <c r="O356" s="396">
        <f>O341/O337*O346</f>
        <v>1026.7507022896127</v>
      </c>
    </row>
    <row r="357" spans="1:15" x14ac:dyDescent="0.25">
      <c r="B357" s="347"/>
      <c r="C357" s="351" t="s">
        <v>52</v>
      </c>
      <c r="F357" s="194" t="s">
        <v>293</v>
      </c>
      <c r="I357" s="396">
        <f>I219</f>
        <v>0</v>
      </c>
      <c r="J357" s="396">
        <f>J219</f>
        <v>0</v>
      </c>
      <c r="K357" s="396">
        <f>K341/K337*K347</f>
        <v>0</v>
      </c>
      <c r="L357" s="396">
        <f>L341/L337*L347</f>
        <v>0</v>
      </c>
      <c r="M357" s="396">
        <f>M341/M337*M347</f>
        <v>0</v>
      </c>
      <c r="N357" s="396">
        <f>N341/N337*N347</f>
        <v>0</v>
      </c>
      <c r="O357" s="396">
        <f>O341/O337*O347</f>
        <v>0</v>
      </c>
    </row>
    <row r="358" spans="1:15" x14ac:dyDescent="0.25">
      <c r="B358" s="347"/>
      <c r="C358" t="s">
        <v>181</v>
      </c>
      <c r="F358" s="194" t="s">
        <v>293</v>
      </c>
      <c r="I358" s="396">
        <f t="shared" ref="I358:J361" si="90">I234</f>
        <v>0</v>
      </c>
      <c r="J358" s="396">
        <f t="shared" si="90"/>
        <v>2192.4</v>
      </c>
      <c r="K358" s="396">
        <f>K341/K337*K348</f>
        <v>1176.6711135245901</v>
      </c>
      <c r="L358" s="396">
        <f t="shared" ref="L358:O358" si="91">L341/L337*L348</f>
        <v>1232.9901391499998</v>
      </c>
      <c r="M358" s="396">
        <f t="shared" si="91"/>
        <v>1288.4746954117497</v>
      </c>
      <c r="N358" s="396">
        <f t="shared" si="91"/>
        <v>1346.4560567052786</v>
      </c>
      <c r="O358" s="396">
        <f t="shared" si="91"/>
        <v>1403.2021896962042</v>
      </c>
    </row>
    <row r="359" spans="1:15" x14ac:dyDescent="0.25">
      <c r="B359" s="347"/>
      <c r="C359" s="346" t="s">
        <v>53</v>
      </c>
      <c r="F359" s="194" t="s">
        <v>293</v>
      </c>
      <c r="I359" s="396">
        <f t="shared" si="90"/>
        <v>980.2</v>
      </c>
      <c r="J359" s="396">
        <f t="shared" si="90"/>
        <v>1102.9000000000001</v>
      </c>
      <c r="K359" s="396">
        <f>K$341/K$337*K349</f>
        <v>1168.4158219470546</v>
      </c>
      <c r="L359" s="396">
        <f t="shared" ref="L359:O360" si="92">L$341/L$337*L349</f>
        <v>1224.3397244386026</v>
      </c>
      <c r="M359" s="396">
        <f t="shared" si="92"/>
        <v>1279.4350120383394</v>
      </c>
      <c r="N359" s="396">
        <f t="shared" si="92"/>
        <v>1337.009587580065</v>
      </c>
      <c r="O359" s="396">
        <f t="shared" si="92"/>
        <v>1393.3576009364101</v>
      </c>
    </row>
    <row r="360" spans="1:15" x14ac:dyDescent="0.25">
      <c r="B360" s="347"/>
      <c r="C360" s="346" t="s">
        <v>180</v>
      </c>
      <c r="F360" s="194" t="s">
        <v>293</v>
      </c>
      <c r="I360" s="396">
        <f t="shared" si="90"/>
        <v>2388.6000000000004</v>
      </c>
      <c r="J360" s="396">
        <f t="shared" si="90"/>
        <v>2692.6</v>
      </c>
      <c r="K360" s="396">
        <f>K$341/K$337*K350</f>
        <v>2849.9364000323153</v>
      </c>
      <c r="L360" s="396">
        <f t="shared" si="92"/>
        <v>2986.3429449872865</v>
      </c>
      <c r="M360" s="396">
        <f t="shared" si="92"/>
        <v>3120.7283775117139</v>
      </c>
      <c r="N360" s="396">
        <f t="shared" si="92"/>
        <v>3261.1611544997418</v>
      </c>
      <c r="O360" s="396">
        <f t="shared" si="92"/>
        <v>3398.6021676367855</v>
      </c>
    </row>
    <row r="361" spans="1:15" x14ac:dyDescent="0.25">
      <c r="B361" s="347"/>
      <c r="C361" s="346" t="s">
        <v>54</v>
      </c>
      <c r="F361" s="194" t="s">
        <v>293</v>
      </c>
      <c r="I361" s="385">
        <f t="shared" si="90"/>
        <v>530</v>
      </c>
      <c r="J361" s="385">
        <f t="shared" si="90"/>
        <v>973.1</v>
      </c>
      <c r="K361" s="385">
        <f>K341/K337*K351</f>
        <v>833.9757549156833</v>
      </c>
      <c r="L361" s="385">
        <f>L341/L337*L351</f>
        <v>873.89234789753812</v>
      </c>
      <c r="M361" s="385">
        <f>M341/M337*M351</f>
        <v>913.21750355292716</v>
      </c>
      <c r="N361" s="385">
        <f>N341/N337*N351</f>
        <v>954.31229121280899</v>
      </c>
      <c r="O361" s="385">
        <f>O341/O337*O351</f>
        <v>994.53160020722828</v>
      </c>
    </row>
    <row r="362" spans="1:15" x14ac:dyDescent="0.25">
      <c r="B362" s="347"/>
      <c r="C362" s="354" t="s">
        <v>139</v>
      </c>
      <c r="D362" s="191"/>
      <c r="E362" s="191"/>
      <c r="F362" s="207" t="s">
        <v>293</v>
      </c>
      <c r="I362" s="422">
        <f>SUM(I354:I357)-SUM(I358:I361)</f>
        <v>-1058.4000000000001</v>
      </c>
      <c r="J362" s="422">
        <f t="shared" ref="J362:O362" si="93">SUM(J354:J357)-SUM(J358:J361)</f>
        <v>-3553.8999999999996</v>
      </c>
      <c r="K362" s="422">
        <f>SUM(K354:K357)-SUM(K358:K361)</f>
        <v>-2606.5263149858642</v>
      </c>
      <c r="L362" s="422">
        <f t="shared" si="93"/>
        <v>-2731.2825197058737</v>
      </c>
      <c r="M362" s="422">
        <f>SUM(M354:M357)-SUM(M358:M361)</f>
        <v>-2854.1902330926378</v>
      </c>
      <c r="N362" s="422">
        <f t="shared" si="93"/>
        <v>-2982.6287935818077</v>
      </c>
      <c r="O362" s="422">
        <f t="shared" si="93"/>
        <v>-3108.3311136391812</v>
      </c>
    </row>
    <row r="363" spans="1:15" x14ac:dyDescent="0.25">
      <c r="B363" s="347"/>
      <c r="C363" s="346"/>
      <c r="F363" s="194"/>
      <c r="H363" s="316"/>
      <c r="I363" s="316"/>
      <c r="J363" s="316"/>
      <c r="K363" s="316"/>
      <c r="L363" s="316"/>
      <c r="M363" s="316"/>
      <c r="N363" s="316"/>
      <c r="O363" s="316"/>
    </row>
    <row r="364" spans="1:15" ht="15.75" thickBot="1" x14ac:dyDescent="0.3">
      <c r="B364" s="354" t="s">
        <v>140</v>
      </c>
      <c r="C364" s="347"/>
      <c r="F364" s="207" t="s">
        <v>293</v>
      </c>
      <c r="H364" s="316"/>
      <c r="I364" s="316"/>
      <c r="J364" s="538">
        <f t="shared" ref="J364:O364" si="94">I362-J362</f>
        <v>2495.4999999999995</v>
      </c>
      <c r="K364" s="538">
        <f>J362-K362</f>
        <v>-947.37368501413539</v>
      </c>
      <c r="L364" s="538">
        <f t="shared" si="94"/>
        <v>124.75620472000946</v>
      </c>
      <c r="M364" s="538">
        <f>L362-M362</f>
        <v>122.90771338676404</v>
      </c>
      <c r="N364" s="538">
        <f t="shared" si="94"/>
        <v>128.43856048916996</v>
      </c>
      <c r="O364" s="538">
        <f t="shared" si="94"/>
        <v>125.70232005737353</v>
      </c>
    </row>
    <row r="365" spans="1:15" ht="15.75" thickTop="1" x14ac:dyDescent="0.25">
      <c r="B365" s="212"/>
      <c r="C365" s="355"/>
      <c r="D365" s="212"/>
      <c r="E365" s="212"/>
      <c r="F365" s="212"/>
      <c r="G365" s="212"/>
      <c r="H365" s="212"/>
      <c r="I365" s="212"/>
      <c r="J365" s="212"/>
      <c r="K365" s="212"/>
      <c r="L365" s="212"/>
      <c r="M365" s="212"/>
      <c r="N365" s="212"/>
      <c r="O365" s="212"/>
    </row>
    <row r="366" spans="1:15" x14ac:dyDescent="0.25">
      <c r="F366" s="185"/>
    </row>
    <row r="367" spans="1:15" ht="12.75" customHeight="1" x14ac:dyDescent="0.35">
      <c r="A367" s="176"/>
      <c r="B367" s="177"/>
      <c r="C367" s="173"/>
      <c r="D367" s="173"/>
      <c r="E367" s="173"/>
      <c r="F367" s="174"/>
      <c r="G367" s="173"/>
      <c r="H367" s="173"/>
      <c r="I367" s="173"/>
      <c r="J367" s="173"/>
      <c r="K367" s="173"/>
      <c r="L367" s="173"/>
      <c r="M367" s="173"/>
      <c r="N367" s="173"/>
      <c r="O367" s="214" t="str">
        <f>$O$1</f>
        <v>CURRENTLY RUNNING: BASE CASE SCENARIO</v>
      </c>
    </row>
    <row r="368" spans="1:15" ht="23.25" x14ac:dyDescent="0.35">
      <c r="B368" s="177" t="str">
        <f>B$2</f>
        <v>McDonald's Corporation</v>
      </c>
      <c r="C368" s="173"/>
      <c r="D368" s="173"/>
      <c r="E368" s="173"/>
      <c r="F368" s="173"/>
      <c r="G368" s="173"/>
      <c r="H368" s="173"/>
      <c r="I368" s="173"/>
      <c r="J368" s="173"/>
      <c r="K368" s="173"/>
      <c r="L368" s="173"/>
      <c r="M368" s="173"/>
      <c r="N368" s="173"/>
      <c r="O368" s="173"/>
    </row>
    <row r="369" spans="1:15" ht="18" x14ac:dyDescent="0.25">
      <c r="B369" s="179" t="s">
        <v>141</v>
      </c>
      <c r="C369" s="173"/>
      <c r="D369" s="173"/>
      <c r="E369" s="173"/>
      <c r="F369" s="173"/>
      <c r="G369" s="173"/>
      <c r="H369" s="173"/>
      <c r="I369" s="173"/>
      <c r="J369" s="173"/>
      <c r="K369" s="173"/>
      <c r="L369" s="173"/>
      <c r="M369" s="173"/>
      <c r="N369" s="173"/>
      <c r="O369" s="173"/>
    </row>
    <row r="370" spans="1:15" ht="3" customHeight="1" thickBot="1" x14ac:dyDescent="0.35">
      <c r="A370" s="178"/>
      <c r="B370" s="182"/>
      <c r="C370" s="183"/>
      <c r="D370" s="183"/>
      <c r="E370" s="183"/>
      <c r="F370" s="184"/>
      <c r="G370" s="183"/>
      <c r="H370" s="183"/>
      <c r="I370" s="183"/>
      <c r="J370" s="183"/>
      <c r="K370" s="183"/>
      <c r="L370" s="183"/>
      <c r="M370" s="183"/>
      <c r="N370" s="183"/>
      <c r="O370" s="183"/>
    </row>
    <row r="371" spans="1:15" x14ac:dyDescent="0.25">
      <c r="B371" s="236" t="str">
        <f>$B$167</f>
        <v>($ Millions)</v>
      </c>
      <c r="O371" s="197"/>
    </row>
    <row r="372" spans="1:15" x14ac:dyDescent="0.25">
      <c r="H372" s="173"/>
      <c r="I372" s="173"/>
      <c r="J372" s="173"/>
      <c r="K372" s="187" t="s">
        <v>2</v>
      </c>
      <c r="L372" s="188"/>
      <c r="M372" s="188"/>
      <c r="N372" s="188"/>
      <c r="O372" s="188"/>
    </row>
    <row r="373" spans="1:15" x14ac:dyDescent="0.25">
      <c r="G373" s="266"/>
      <c r="H373" s="356"/>
      <c r="I373" s="356"/>
      <c r="J373" s="190">
        <f t="shared" ref="J373:O373" si="95">J$7</f>
        <v>2023</v>
      </c>
      <c r="K373" s="267">
        <f t="shared" si="95"/>
        <v>2024</v>
      </c>
      <c r="L373" s="267">
        <f t="shared" si="95"/>
        <v>2025</v>
      </c>
      <c r="M373" s="267">
        <f t="shared" si="95"/>
        <v>2026</v>
      </c>
      <c r="N373" s="267">
        <f t="shared" si="95"/>
        <v>2027</v>
      </c>
      <c r="O373" s="267">
        <f t="shared" si="95"/>
        <v>2028</v>
      </c>
    </row>
    <row r="374" spans="1:15" ht="6" customHeight="1" x14ac:dyDescent="0.25">
      <c r="F374" s="185"/>
    </row>
    <row r="375" spans="1:15" x14ac:dyDescent="0.25">
      <c r="B375" s="191" t="s">
        <v>142</v>
      </c>
      <c r="F375" s="185"/>
      <c r="K375" s="357"/>
      <c r="L375" s="357"/>
      <c r="M375" s="357"/>
      <c r="N375" s="357"/>
      <c r="O375" s="357"/>
    </row>
    <row r="376" spans="1:15" ht="6" customHeight="1" x14ac:dyDescent="0.25">
      <c r="F376" s="185"/>
    </row>
    <row r="377" spans="1:15" x14ac:dyDescent="0.25">
      <c r="C377" s="191" t="s">
        <v>101</v>
      </c>
      <c r="F377" s="185"/>
    </row>
    <row r="378" spans="1:15" x14ac:dyDescent="0.25">
      <c r="D378" t="s">
        <v>143</v>
      </c>
      <c r="F378" s="185"/>
      <c r="K378" s="379">
        <f>J380</f>
        <v>4579.3</v>
      </c>
      <c r="L378" s="379">
        <f>K380</f>
        <v>4136.9501177358643</v>
      </c>
      <c r="M378" s="379">
        <f>L380</f>
        <v>4350.1297518309448</v>
      </c>
      <c r="N378" s="379">
        <f>M380</f>
        <v>4165.0525570492618</v>
      </c>
      <c r="O378" s="379">
        <f>N380</f>
        <v>4087.2890026273935</v>
      </c>
    </row>
    <row r="379" spans="1:15" x14ac:dyDescent="0.25">
      <c r="D379" t="s">
        <v>144</v>
      </c>
      <c r="F379" s="185"/>
      <c r="J379" s="212"/>
      <c r="K379" s="418">
        <f>K200</f>
        <v>-442.34988226413589</v>
      </c>
      <c r="L379" s="418">
        <f>L200</f>
        <v>213.17963409508047</v>
      </c>
      <c r="M379" s="418">
        <f>M200</f>
        <v>-185.07719478168292</v>
      </c>
      <c r="N379" s="418">
        <f>N200</f>
        <v>-77.763554421868321</v>
      </c>
      <c r="O379" s="418">
        <f>O200</f>
        <v>1038.8170200791847</v>
      </c>
    </row>
    <row r="380" spans="1:15" x14ac:dyDescent="0.25">
      <c r="D380" t="s">
        <v>145</v>
      </c>
      <c r="F380" s="185"/>
      <c r="I380" s="358"/>
      <c r="J380" s="358">
        <f>J213</f>
        <v>4579.3</v>
      </c>
      <c r="K380" s="358">
        <f>SUM(K378:K379)</f>
        <v>4136.9501177358643</v>
      </c>
      <c r="L380" s="358">
        <f>SUM(L378:L379)</f>
        <v>4350.1297518309448</v>
      </c>
      <c r="M380" s="358">
        <f>SUM(M378:M379)</f>
        <v>4165.0525570492618</v>
      </c>
      <c r="N380" s="358">
        <f>SUM(N378:N379)</f>
        <v>4087.2890026273935</v>
      </c>
      <c r="O380" s="358">
        <f>SUM(O378:O379)</f>
        <v>5126.1060227065782</v>
      </c>
    </row>
    <row r="381" spans="1:15" ht="6" customHeight="1" x14ac:dyDescent="0.25">
      <c r="F381" s="185"/>
    </row>
    <row r="382" spans="1:15" x14ac:dyDescent="0.25">
      <c r="D382" t="s">
        <v>146</v>
      </c>
      <c r="F382" s="185"/>
      <c r="K382" s="359">
        <f>Assumptions!H27</f>
        <v>3.5000000000000003E-2</v>
      </c>
      <c r="L382" s="360">
        <f>K382</f>
        <v>3.5000000000000003E-2</v>
      </c>
      <c r="M382" s="360">
        <f>L382</f>
        <v>3.5000000000000003E-2</v>
      </c>
      <c r="N382" s="360">
        <f>M382</f>
        <v>3.5000000000000003E-2</v>
      </c>
      <c r="O382" s="360">
        <f>N382</f>
        <v>3.5000000000000003E-2</v>
      </c>
    </row>
    <row r="383" spans="1:15" x14ac:dyDescent="0.25">
      <c r="D383" s="191" t="s">
        <v>147</v>
      </c>
      <c r="F383" s="185"/>
      <c r="K383" s="566">
        <f>K382*K378</f>
        <v>160.27550000000002</v>
      </c>
      <c r="L383" s="566">
        <f t="shared" ref="L383:O383" si="96">L382*L378</f>
        <v>144.79325412075525</v>
      </c>
      <c r="M383" s="566">
        <f t="shared" si="96"/>
        <v>152.25454131408307</v>
      </c>
      <c r="N383" s="566">
        <f t="shared" si="96"/>
        <v>145.77683949672416</v>
      </c>
      <c r="O383" s="566">
        <f t="shared" si="96"/>
        <v>143.05511509195878</v>
      </c>
    </row>
    <row r="384" spans="1:15" ht="6" customHeight="1" x14ac:dyDescent="0.25">
      <c r="F384" s="185"/>
    </row>
    <row r="385" spans="2:15" ht="6" customHeight="1" x14ac:dyDescent="0.25">
      <c r="F385" s="185"/>
    </row>
    <row r="386" spans="2:15" x14ac:dyDescent="0.25">
      <c r="C386" s="191" t="s">
        <v>199</v>
      </c>
      <c r="F386" s="185"/>
    </row>
    <row r="387" spans="2:15" x14ac:dyDescent="0.25">
      <c r="D387" t="s">
        <v>143</v>
      </c>
      <c r="F387" s="185"/>
      <c r="K387" s="379">
        <f>J389</f>
        <v>0</v>
      </c>
      <c r="L387" s="379">
        <f>K389</f>
        <v>0</v>
      </c>
      <c r="M387" s="379">
        <f>L389</f>
        <v>0</v>
      </c>
      <c r="N387" s="379">
        <f>M389</f>
        <v>0</v>
      </c>
      <c r="O387" s="379">
        <f>N389</f>
        <v>0</v>
      </c>
    </row>
    <row r="388" spans="2:15" x14ac:dyDescent="0.25">
      <c r="D388" t="s">
        <v>153</v>
      </c>
      <c r="F388" s="185"/>
      <c r="J388" s="212"/>
      <c r="K388" s="421">
        <f>Assumptions!J60</f>
        <v>0</v>
      </c>
      <c r="L388" s="421">
        <f>Assumptions!K60</f>
        <v>0</v>
      </c>
      <c r="M388" s="421">
        <f>Assumptions!L60</f>
        <v>0</v>
      </c>
      <c r="N388" s="421">
        <f>Assumptions!M60</f>
        <v>0</v>
      </c>
      <c r="O388" s="421">
        <f>Assumptions!N60</f>
        <v>0</v>
      </c>
    </row>
    <row r="389" spans="2:15" x14ac:dyDescent="0.25">
      <c r="D389" t="s">
        <v>145</v>
      </c>
      <c r="F389" s="185"/>
      <c r="I389" s="358"/>
      <c r="J389" s="379">
        <f>J214</f>
        <v>0</v>
      </c>
      <c r="K389" s="379">
        <f>SUM(K387:K388)</f>
        <v>0</v>
      </c>
      <c r="L389" s="379">
        <f>SUM(L387:L388)</f>
        <v>0</v>
      </c>
      <c r="M389" s="379">
        <f>SUM(M387:M388)</f>
        <v>0</v>
      </c>
      <c r="N389" s="379">
        <f>SUM(N387:N388)</f>
        <v>0</v>
      </c>
      <c r="O389" s="379">
        <f>SUM(O387:O388)</f>
        <v>0</v>
      </c>
    </row>
    <row r="390" spans="2:15" ht="6" customHeight="1" x14ac:dyDescent="0.25">
      <c r="F390" s="185"/>
    </row>
    <row r="391" spans="2:15" x14ac:dyDescent="0.25">
      <c r="D391" t="s">
        <v>146</v>
      </c>
      <c r="F391" s="185"/>
      <c r="K391" s="362">
        <f>Assumptions!H29</f>
        <v>0.04</v>
      </c>
      <c r="L391" s="208">
        <f>K391</f>
        <v>0.04</v>
      </c>
      <c r="M391" s="208">
        <f>L391</f>
        <v>0.04</v>
      </c>
      <c r="N391" s="208">
        <f>M391</f>
        <v>0.04</v>
      </c>
      <c r="O391" s="208">
        <f>N391</f>
        <v>0.04</v>
      </c>
    </row>
    <row r="392" spans="2:15" x14ac:dyDescent="0.25">
      <c r="D392" s="191" t="s">
        <v>147</v>
      </c>
      <c r="F392" s="185"/>
      <c r="K392" s="566">
        <f>K391*K387</f>
        <v>0</v>
      </c>
      <c r="L392" s="566">
        <f t="shared" ref="L392:O392" si="97">L391*L387</f>
        <v>0</v>
      </c>
      <c r="M392" s="566">
        <f t="shared" si="97"/>
        <v>0</v>
      </c>
      <c r="N392" s="566">
        <f t="shared" si="97"/>
        <v>0</v>
      </c>
      <c r="O392" s="566">
        <f t="shared" si="97"/>
        <v>0</v>
      </c>
    </row>
    <row r="393" spans="2:15" ht="6" customHeight="1" x14ac:dyDescent="0.25">
      <c r="F393" s="185"/>
    </row>
    <row r="394" spans="2:15" x14ac:dyDescent="0.25">
      <c r="F394" s="185"/>
    </row>
    <row r="395" spans="2:15" x14ac:dyDescent="0.25">
      <c r="C395" s="191" t="s">
        <v>148</v>
      </c>
      <c r="F395" s="185"/>
    </row>
    <row r="396" spans="2:15" x14ac:dyDescent="0.25">
      <c r="B396" s="191"/>
      <c r="D396" t="s">
        <v>86</v>
      </c>
      <c r="F396" s="185"/>
      <c r="H396" s="361"/>
      <c r="I396" s="361"/>
      <c r="J396" s="361"/>
      <c r="K396" s="396">
        <f>K178</f>
        <v>8780.3239204858637</v>
      </c>
      <c r="L396" s="396">
        <f>L178</f>
        <v>10433.628063470151</v>
      </c>
      <c r="M396" s="396">
        <f>M178</f>
        <v>11091.775397049871</v>
      </c>
      <c r="N396" s="396">
        <f>N178</f>
        <v>11801.465580667093</v>
      </c>
      <c r="O396" s="396">
        <f>O178</f>
        <v>12565.516095101002</v>
      </c>
    </row>
    <row r="397" spans="2:15" x14ac:dyDescent="0.25">
      <c r="B397" s="191"/>
      <c r="D397" t="s">
        <v>89</v>
      </c>
      <c r="F397" s="185"/>
      <c r="H397" s="361"/>
      <c r="I397" s="361"/>
      <c r="J397" s="361"/>
      <c r="K397" s="396">
        <f>K186</f>
        <v>-3200</v>
      </c>
      <c r="L397" s="396">
        <f>L186</f>
        <v>-3450</v>
      </c>
      <c r="M397" s="396">
        <f>M186</f>
        <v>-3725.0000000000005</v>
      </c>
      <c r="N397" s="396">
        <f>N186</f>
        <v>-4027.5000000000009</v>
      </c>
      <c r="O397" s="396">
        <f>O186</f>
        <v>-4360.2500000000018</v>
      </c>
    </row>
    <row r="398" spans="2:15" x14ac:dyDescent="0.25">
      <c r="B398" s="191"/>
      <c r="D398" t="s">
        <v>149</v>
      </c>
      <c r="F398" s="185"/>
      <c r="H398" s="361"/>
      <c r="I398" s="361"/>
      <c r="J398" s="361"/>
      <c r="K398" s="396">
        <f>K412</f>
        <v>1000</v>
      </c>
      <c r="L398" s="396">
        <f>L412</f>
        <v>500</v>
      </c>
      <c r="M398" s="396">
        <f>M412</f>
        <v>0</v>
      </c>
      <c r="N398" s="396">
        <f>N412</f>
        <v>0</v>
      </c>
      <c r="O398" s="396">
        <f>O412</f>
        <v>1000</v>
      </c>
    </row>
    <row r="399" spans="2:15" x14ac:dyDescent="0.25">
      <c r="B399" s="191"/>
      <c r="D399" t="s">
        <v>57</v>
      </c>
      <c r="F399" s="185"/>
      <c r="H399" s="361"/>
      <c r="I399" s="361"/>
      <c r="J399" s="361"/>
      <c r="K399" s="396">
        <f>K434</f>
        <v>-3000</v>
      </c>
      <c r="L399" s="396">
        <f t="shared" ref="L399:O399" si="98">L434</f>
        <v>-3000</v>
      </c>
      <c r="M399" s="396">
        <f t="shared" si="98"/>
        <v>-3000</v>
      </c>
      <c r="N399" s="396">
        <f t="shared" si="98"/>
        <v>-3000</v>
      </c>
      <c r="O399" s="396">
        <f t="shared" si="98"/>
        <v>-3000</v>
      </c>
    </row>
    <row r="400" spans="2:15" x14ac:dyDescent="0.25">
      <c r="B400" s="191"/>
      <c r="D400" t="s">
        <v>150</v>
      </c>
      <c r="F400" s="185"/>
      <c r="H400" s="361"/>
      <c r="I400" s="361"/>
      <c r="J400" s="361"/>
      <c r="K400" s="385">
        <f>K193</f>
        <v>-4022.67380275</v>
      </c>
      <c r="L400" s="385">
        <f>L193</f>
        <v>-4270.4484293750702</v>
      </c>
      <c r="M400" s="385">
        <f>M193</f>
        <v>-4551.8525918315536</v>
      </c>
      <c r="N400" s="385">
        <f>N193</f>
        <v>-4851.7291350889609</v>
      </c>
      <c r="O400" s="385">
        <f>O193</f>
        <v>-5166.4490750218147</v>
      </c>
    </row>
    <row r="401" spans="3:15" x14ac:dyDescent="0.25">
      <c r="D401" s="191" t="s">
        <v>151</v>
      </c>
      <c r="F401" s="185"/>
      <c r="K401" s="419">
        <f>SUM(K396:K400)</f>
        <v>-442.34988226413634</v>
      </c>
      <c r="L401" s="419">
        <f>SUM(L396:L400)</f>
        <v>213.17963409508047</v>
      </c>
      <c r="M401" s="419">
        <f>SUM(M396:M400)</f>
        <v>-185.07719478168292</v>
      </c>
      <c r="N401" s="419">
        <f>SUM(N396:N400)</f>
        <v>-77.76355442186923</v>
      </c>
      <c r="O401" s="419">
        <f>SUM(O396:O400)</f>
        <v>1038.8170200791856</v>
      </c>
    </row>
    <row r="402" spans="3:15" x14ac:dyDescent="0.25">
      <c r="C402" s="191"/>
      <c r="F402" s="185"/>
    </row>
    <row r="403" spans="3:15" x14ac:dyDescent="0.25">
      <c r="D403" t="s">
        <v>152</v>
      </c>
      <c r="F403" s="185"/>
      <c r="K403" s="379">
        <f>J405</f>
        <v>0</v>
      </c>
      <c r="L403" s="379">
        <f>K405</f>
        <v>0</v>
      </c>
      <c r="M403" s="379">
        <f>L405</f>
        <v>0</v>
      </c>
      <c r="N403" s="379">
        <f>M405</f>
        <v>0</v>
      </c>
      <c r="O403" s="379">
        <f>N405</f>
        <v>0</v>
      </c>
    </row>
    <row r="404" spans="3:15" x14ac:dyDescent="0.25">
      <c r="D404" t="s">
        <v>153</v>
      </c>
      <c r="F404" s="185"/>
      <c r="J404" s="212"/>
      <c r="K404" s="418">
        <f>-MIN((K401+K378),K403)</f>
        <v>0</v>
      </c>
      <c r="L404" s="418">
        <f>-MIN((L401+L378),L403)</f>
        <v>0</v>
      </c>
      <c r="M404" s="418">
        <f>-MIN((M401+M378),M403)</f>
        <v>0</v>
      </c>
      <c r="N404" s="418">
        <f>-MIN((N401+N378),N403)</f>
        <v>0</v>
      </c>
      <c r="O404" s="418">
        <f>-MIN((O401+O378),O403)</f>
        <v>0</v>
      </c>
    </row>
    <row r="405" spans="3:15" x14ac:dyDescent="0.25">
      <c r="D405" t="s">
        <v>154</v>
      </c>
      <c r="F405" s="185"/>
      <c r="I405" s="358"/>
      <c r="J405" s="379">
        <f>J233</f>
        <v>0</v>
      </c>
      <c r="K405" s="379">
        <f>SUM(K403:K404)</f>
        <v>0</v>
      </c>
      <c r="L405" s="379">
        <f>SUM(L403:L404)</f>
        <v>0</v>
      </c>
      <c r="M405" s="379">
        <f>SUM(M403:M404)</f>
        <v>0</v>
      </c>
      <c r="N405" s="379">
        <f>SUM(N403:N404)</f>
        <v>0</v>
      </c>
      <c r="O405" s="379">
        <f>SUM(O403:O404)</f>
        <v>0</v>
      </c>
    </row>
    <row r="406" spans="3:15" ht="6" customHeight="1" x14ac:dyDescent="0.25">
      <c r="F406" s="185"/>
    </row>
    <row r="407" spans="3:15" x14ac:dyDescent="0.25">
      <c r="D407" t="s">
        <v>146</v>
      </c>
      <c r="F407" s="185"/>
      <c r="K407" s="362">
        <f>Assumptions!H28</f>
        <v>0.06</v>
      </c>
      <c r="L407" s="208">
        <f>K407</f>
        <v>0.06</v>
      </c>
      <c r="M407" s="208">
        <f>L407</f>
        <v>0.06</v>
      </c>
      <c r="N407" s="208">
        <f>M407</f>
        <v>0.06</v>
      </c>
      <c r="O407" s="208">
        <f>N407</f>
        <v>0.06</v>
      </c>
    </row>
    <row r="408" spans="3:15" x14ac:dyDescent="0.25">
      <c r="D408" s="191" t="s">
        <v>155</v>
      </c>
      <c r="F408" s="185"/>
      <c r="K408" s="420">
        <f>K407*K403</f>
        <v>0</v>
      </c>
      <c r="L408" s="420">
        <f t="shared" ref="L408:O408" si="99">L407*L403</f>
        <v>0</v>
      </c>
      <c r="M408" s="420">
        <f t="shared" si="99"/>
        <v>0</v>
      </c>
      <c r="N408" s="420">
        <f t="shared" si="99"/>
        <v>0</v>
      </c>
      <c r="O408" s="420">
        <f t="shared" si="99"/>
        <v>0</v>
      </c>
    </row>
    <row r="409" spans="3:15" ht="6" customHeight="1" x14ac:dyDescent="0.25">
      <c r="F409" s="185"/>
    </row>
    <row r="410" spans="3:15" x14ac:dyDescent="0.25">
      <c r="C410" s="191" t="s">
        <v>110</v>
      </c>
      <c r="F410" s="185"/>
    </row>
    <row r="411" spans="3:15" x14ac:dyDescent="0.25">
      <c r="D411" t="s">
        <v>143</v>
      </c>
      <c r="F411" s="185"/>
      <c r="K411" s="379">
        <f>J413</f>
        <v>37152.9</v>
      </c>
      <c r="L411" s="379">
        <f>K413</f>
        <v>38152.9</v>
      </c>
      <c r="M411" s="379">
        <f>L413</f>
        <v>38652.9</v>
      </c>
      <c r="N411" s="379">
        <f>M413</f>
        <v>38652.9</v>
      </c>
      <c r="O411" s="379">
        <f>N413</f>
        <v>38652.9</v>
      </c>
    </row>
    <row r="412" spans="3:15" x14ac:dyDescent="0.25">
      <c r="D412" t="s">
        <v>153</v>
      </c>
      <c r="F412" s="185"/>
      <c r="J412" s="212"/>
      <c r="K412" s="421">
        <f>Assumptions!J85</f>
        <v>1000</v>
      </c>
      <c r="L412" s="421">
        <f>Assumptions!K85</f>
        <v>500</v>
      </c>
      <c r="M412" s="421">
        <f>Assumptions!L85</f>
        <v>0</v>
      </c>
      <c r="N412" s="421">
        <f>Assumptions!M85</f>
        <v>0</v>
      </c>
      <c r="O412" s="421">
        <f>Assumptions!N85</f>
        <v>1000</v>
      </c>
    </row>
    <row r="413" spans="3:15" x14ac:dyDescent="0.25">
      <c r="D413" t="s">
        <v>145</v>
      </c>
      <c r="F413" s="185"/>
      <c r="I413" s="358"/>
      <c r="J413" s="379">
        <f>J241</f>
        <v>37152.9</v>
      </c>
      <c r="K413" s="379">
        <f>SUM(K411:K412)</f>
        <v>38152.9</v>
      </c>
      <c r="L413" s="379">
        <f>SUM(L411:L412)</f>
        <v>38652.9</v>
      </c>
      <c r="M413" s="379">
        <f>SUM(M411:M412)</f>
        <v>38652.9</v>
      </c>
      <c r="N413" s="379">
        <f>SUM(N411:N412)</f>
        <v>38652.9</v>
      </c>
      <c r="O413" s="379">
        <f>SUM(O411:O412)</f>
        <v>39652.9</v>
      </c>
    </row>
    <row r="414" spans="3:15" ht="6" customHeight="1" x14ac:dyDescent="0.25">
      <c r="F414" s="185"/>
    </row>
    <row r="415" spans="3:15" x14ac:dyDescent="0.25">
      <c r="D415" t="s">
        <v>146</v>
      </c>
      <c r="F415" s="185"/>
      <c r="K415" s="362">
        <f>Assumptions!H30</f>
        <v>5.5E-2</v>
      </c>
      <c r="L415" s="208">
        <f>K415</f>
        <v>5.5E-2</v>
      </c>
      <c r="M415" s="208">
        <f>L415</f>
        <v>5.5E-2</v>
      </c>
      <c r="N415" s="208">
        <f>M415</f>
        <v>5.5E-2</v>
      </c>
      <c r="O415" s="208">
        <f>N415</f>
        <v>5.5E-2</v>
      </c>
    </row>
    <row r="416" spans="3:15" x14ac:dyDescent="0.25">
      <c r="D416" s="191" t="s">
        <v>155</v>
      </c>
      <c r="F416" s="185"/>
      <c r="K416" s="566">
        <f>K415*K411</f>
        <v>2043.4095</v>
      </c>
      <c r="L416" s="566">
        <f t="shared" ref="L416:O416" si="100">L415*L411</f>
        <v>2098.4095000000002</v>
      </c>
      <c r="M416" s="566">
        <f t="shared" si="100"/>
        <v>2125.9095000000002</v>
      </c>
      <c r="N416" s="566">
        <f t="shared" si="100"/>
        <v>2125.9095000000002</v>
      </c>
      <c r="O416" s="566">
        <f t="shared" si="100"/>
        <v>2125.9095000000002</v>
      </c>
    </row>
    <row r="417" spans="1:15" x14ac:dyDescent="0.25">
      <c r="F417" s="185"/>
    </row>
    <row r="418" spans="1:15" ht="5.0999999999999996" customHeight="1" x14ac:dyDescent="0.25">
      <c r="F418" s="185"/>
    </row>
    <row r="419" spans="1:15" ht="15.75" thickBot="1" x14ac:dyDescent="0.3">
      <c r="C419" s="191" t="s">
        <v>156</v>
      </c>
      <c r="F419" s="185"/>
      <c r="K419" s="564">
        <f>K416+K408-K383-K392</f>
        <v>1883.134</v>
      </c>
      <c r="L419" s="564">
        <f t="shared" ref="L419:O419" si="101">L416+L408-L383-L392</f>
        <v>1953.6162458792451</v>
      </c>
      <c r="M419" s="564">
        <f t="shared" si="101"/>
        <v>1973.6549586859171</v>
      </c>
      <c r="N419" s="564">
        <f t="shared" si="101"/>
        <v>1980.1326605032759</v>
      </c>
      <c r="O419" s="564">
        <f t="shared" si="101"/>
        <v>1982.8543849080415</v>
      </c>
    </row>
    <row r="420" spans="1:15" ht="15.75" thickTop="1" x14ac:dyDescent="0.25">
      <c r="B420" s="212"/>
      <c r="C420" s="212"/>
      <c r="D420" s="212"/>
      <c r="E420" s="212"/>
      <c r="F420" s="213"/>
      <c r="G420" s="212"/>
      <c r="H420" s="212"/>
      <c r="I420" s="212"/>
      <c r="J420" s="212"/>
      <c r="K420" s="212"/>
      <c r="L420" s="212"/>
      <c r="M420" s="212"/>
      <c r="N420" s="212"/>
      <c r="O420" s="212"/>
    </row>
    <row r="421" spans="1:15" x14ac:dyDescent="0.25">
      <c r="F421" s="185"/>
    </row>
    <row r="422" spans="1:15" ht="12.75" customHeight="1" x14ac:dyDescent="0.35">
      <c r="A422" s="176"/>
      <c r="B422" s="177"/>
      <c r="C422" s="173"/>
      <c r="D422" s="173"/>
      <c r="E422" s="173"/>
      <c r="F422" s="174"/>
      <c r="G422" s="173"/>
      <c r="H422" s="173"/>
      <c r="I422" s="173"/>
      <c r="J422" s="173"/>
      <c r="K422" s="173"/>
      <c r="L422" s="173"/>
      <c r="M422" s="173"/>
      <c r="N422" s="173"/>
      <c r="O422" s="214" t="str">
        <f>$O$1</f>
        <v>CURRENTLY RUNNING: BASE CASE SCENARIO</v>
      </c>
    </row>
    <row r="423" spans="1:15" ht="23.25" x14ac:dyDescent="0.35">
      <c r="B423" s="177" t="str">
        <f>B$2</f>
        <v>McDonald's Corporation</v>
      </c>
      <c r="C423" s="173"/>
      <c r="D423" s="173"/>
      <c r="E423" s="173"/>
      <c r="F423" s="173"/>
      <c r="G423" s="173"/>
      <c r="H423" s="173"/>
      <c r="I423" s="173"/>
      <c r="J423" s="173"/>
      <c r="K423" s="173"/>
      <c r="L423" s="173"/>
      <c r="M423" s="173"/>
      <c r="N423" s="173"/>
      <c r="O423" s="173"/>
    </row>
    <row r="424" spans="1:15" ht="18" x14ac:dyDescent="0.25">
      <c r="B424" s="179" t="s">
        <v>157</v>
      </c>
      <c r="C424" s="173"/>
      <c r="D424" s="173"/>
      <c r="E424" s="173"/>
      <c r="F424" s="173"/>
      <c r="G424" s="173"/>
      <c r="H424" s="173"/>
      <c r="I424" s="173"/>
      <c r="J424" s="173"/>
      <c r="K424" s="173"/>
      <c r="L424" s="173"/>
      <c r="M424" s="173"/>
      <c r="N424" s="173"/>
      <c r="O424" s="173"/>
    </row>
    <row r="425" spans="1:15" ht="3" customHeight="1" thickBot="1" x14ac:dyDescent="0.35">
      <c r="A425" s="178"/>
      <c r="B425" s="182"/>
      <c r="C425" s="183"/>
      <c r="D425" s="183"/>
      <c r="E425" s="183"/>
      <c r="F425" s="184"/>
      <c r="G425" s="183"/>
      <c r="H425" s="183"/>
      <c r="I425" s="183"/>
      <c r="J425" s="183"/>
      <c r="K425" s="183"/>
      <c r="L425" s="183"/>
      <c r="M425" s="183"/>
      <c r="N425" s="183"/>
      <c r="O425" s="183"/>
    </row>
    <row r="426" spans="1:15" x14ac:dyDescent="0.25">
      <c r="B426" s="236" t="str">
        <f>$B$167</f>
        <v>($ Millions)</v>
      </c>
      <c r="O426" s="197"/>
    </row>
    <row r="427" spans="1:15" x14ac:dyDescent="0.25">
      <c r="H427" s="173"/>
      <c r="I427" s="173"/>
      <c r="J427" s="173"/>
      <c r="K427" s="187" t="s">
        <v>2</v>
      </c>
      <c r="L427" s="188"/>
      <c r="M427" s="188"/>
      <c r="N427" s="188"/>
      <c r="O427" s="188"/>
    </row>
    <row r="428" spans="1:15" x14ac:dyDescent="0.25">
      <c r="G428" s="266"/>
      <c r="H428" s="356"/>
      <c r="I428" s="356"/>
      <c r="J428" s="190">
        <f t="shared" ref="J428:O428" si="102">J$7</f>
        <v>2023</v>
      </c>
      <c r="K428" s="267">
        <f t="shared" si="102"/>
        <v>2024</v>
      </c>
      <c r="L428" s="267">
        <f t="shared" si="102"/>
        <v>2025</v>
      </c>
      <c r="M428" s="267">
        <f t="shared" si="102"/>
        <v>2026</v>
      </c>
      <c r="N428" s="267">
        <f t="shared" si="102"/>
        <v>2027</v>
      </c>
      <c r="O428" s="267">
        <f t="shared" si="102"/>
        <v>2028</v>
      </c>
    </row>
    <row r="429" spans="1:15" x14ac:dyDescent="0.25">
      <c r="F429" s="185"/>
    </row>
    <row r="430" spans="1:15" x14ac:dyDescent="0.25">
      <c r="F430" s="185"/>
    </row>
    <row r="431" spans="1:15" x14ac:dyDescent="0.25">
      <c r="B431" s="216"/>
      <c r="C431" s="217"/>
      <c r="D431" s="217" t="s">
        <v>272</v>
      </c>
      <c r="E431" s="217"/>
      <c r="F431" s="218"/>
      <c r="G431" s="219"/>
      <c r="H431" s="220"/>
      <c r="I431" s="220"/>
      <c r="J431" s="220"/>
      <c r="K431" s="530">
        <f>J248/J251</f>
        <v>-3.5268872033484165E-3</v>
      </c>
      <c r="L431" s="530">
        <f t="shared" ref="L431:O431" si="103">K248/K251</f>
        <v>-7.5758057785857823E-3</v>
      </c>
      <c r="M431" s="530">
        <f t="shared" si="103"/>
        <v>-2.388296261680866E-2</v>
      </c>
      <c r="N431" s="530">
        <f t="shared" si="103"/>
        <v>-0.46517915336057308</v>
      </c>
      <c r="O431" s="530">
        <f t="shared" si="103"/>
        <v>0.82063723001565558</v>
      </c>
    </row>
    <row r="432" spans="1:15" x14ac:dyDescent="0.25">
      <c r="B432" s="428"/>
      <c r="D432" t="s">
        <v>189</v>
      </c>
      <c r="F432" s="194"/>
      <c r="G432" s="189"/>
      <c r="H432" s="242"/>
      <c r="I432" s="242"/>
      <c r="J432" s="242"/>
      <c r="K432" s="379">
        <f>K434*K431</f>
        <v>10.580661610045249</v>
      </c>
      <c r="L432" s="379">
        <f t="shared" ref="L432:O432" si="104">L434*L431</f>
        <v>22.727417335757348</v>
      </c>
      <c r="M432" s="379">
        <f t="shared" si="104"/>
        <v>71.648887850425979</v>
      </c>
      <c r="N432" s="379">
        <f t="shared" si="104"/>
        <v>1395.5374600817192</v>
      </c>
      <c r="O432" s="379">
        <f t="shared" si="104"/>
        <v>-2461.9116900469667</v>
      </c>
    </row>
    <row r="433" spans="2:15" x14ac:dyDescent="0.25">
      <c r="B433" s="428"/>
      <c r="D433" t="s">
        <v>190</v>
      </c>
      <c r="F433" s="194"/>
      <c r="G433" s="189"/>
      <c r="H433" s="242"/>
      <c r="I433" s="242"/>
      <c r="J433" s="242"/>
      <c r="K433" s="418">
        <f>K434*(1-K431)</f>
        <v>-3010.5806616100454</v>
      </c>
      <c r="L433" s="418">
        <f t="shared" ref="L433:O433" si="105">L434*(1-L431)</f>
        <v>-3022.7274173357573</v>
      </c>
      <c r="M433" s="418">
        <f t="shared" si="105"/>
        <v>-3071.648887850426</v>
      </c>
      <c r="N433" s="418">
        <f t="shared" si="105"/>
        <v>-4395.5374600817195</v>
      </c>
      <c r="O433" s="418">
        <f t="shared" si="105"/>
        <v>-538.08830995303322</v>
      </c>
    </row>
    <row r="434" spans="2:15" x14ac:dyDescent="0.25">
      <c r="B434" s="221"/>
      <c r="C434" s="200"/>
      <c r="D434" s="200" t="s">
        <v>158</v>
      </c>
      <c r="E434" s="200"/>
      <c r="F434" s="209"/>
      <c r="G434" s="222"/>
      <c r="H434" s="223"/>
      <c r="I434" s="223"/>
      <c r="J434" s="223"/>
      <c r="K434" s="427">
        <f>Assumptions!J86</f>
        <v>-3000</v>
      </c>
      <c r="L434" s="427">
        <f>Assumptions!K86</f>
        <v>-3000</v>
      </c>
      <c r="M434" s="427">
        <f>Assumptions!L86</f>
        <v>-3000</v>
      </c>
      <c r="N434" s="427">
        <f>Assumptions!M86</f>
        <v>-3000</v>
      </c>
      <c r="O434" s="427">
        <f>Assumptions!N86</f>
        <v>-3000</v>
      </c>
    </row>
    <row r="435" spans="2:15" x14ac:dyDescent="0.25">
      <c r="F435" s="185"/>
      <c r="K435" s="426"/>
      <c r="L435" s="426"/>
      <c r="M435" s="426"/>
      <c r="N435" s="426"/>
      <c r="O435" s="426"/>
    </row>
    <row r="436" spans="2:15" x14ac:dyDescent="0.25">
      <c r="C436" s="191" t="s">
        <v>210</v>
      </c>
      <c r="F436" s="185"/>
      <c r="K436" s="426"/>
      <c r="L436" s="426"/>
      <c r="M436" s="426"/>
      <c r="N436" s="426"/>
      <c r="O436" s="426"/>
    </row>
    <row r="437" spans="2:15" x14ac:dyDescent="0.25">
      <c r="C437" s="191"/>
      <c r="D437" t="s">
        <v>213</v>
      </c>
      <c r="F437" s="185"/>
      <c r="J437" s="540">
        <f>Assumptions!$N$8</f>
        <v>312.92</v>
      </c>
      <c r="K437" s="429">
        <f>J437</f>
        <v>312.92</v>
      </c>
      <c r="L437" s="429">
        <f>K437</f>
        <v>312.92</v>
      </c>
      <c r="M437" s="429">
        <f t="shared" ref="M437:O437" si="106">L437</f>
        <v>312.92</v>
      </c>
      <c r="N437" s="429">
        <f t="shared" si="106"/>
        <v>312.92</v>
      </c>
      <c r="O437" s="429">
        <f t="shared" si="106"/>
        <v>312.92</v>
      </c>
    </row>
    <row r="438" spans="2:15" x14ac:dyDescent="0.25">
      <c r="D438" t="s">
        <v>295</v>
      </c>
      <c r="F438" s="185"/>
      <c r="J438" s="572">
        <f>1660.6-937.9</f>
        <v>722.69999999999993</v>
      </c>
      <c r="K438" s="396">
        <f>J442</f>
        <v>722.69999999999993</v>
      </c>
      <c r="L438" s="396">
        <f>K442</f>
        <v>713.6881119775021</v>
      </c>
      <c r="M438" s="396">
        <f t="shared" ref="M438:O438" si="107">L442</f>
        <v>704.74013805445463</v>
      </c>
      <c r="N438" s="396">
        <f t="shared" si="107"/>
        <v>695.87205675572011</v>
      </c>
      <c r="O438" s="396">
        <f t="shared" si="107"/>
        <v>687.08386808129853</v>
      </c>
    </row>
    <row r="439" spans="2:15" x14ac:dyDescent="0.25">
      <c r="D439" t="s">
        <v>214</v>
      </c>
      <c r="F439" s="185"/>
      <c r="J439" s="453"/>
      <c r="K439" s="396">
        <f>K434/K437</f>
        <v>-9.5871149175508119</v>
      </c>
      <c r="L439" s="396">
        <f t="shared" ref="L439:O439" si="108">L434/L437</f>
        <v>-9.5871149175508119</v>
      </c>
      <c r="M439" s="396">
        <f t="shared" si="108"/>
        <v>-9.5871149175508119</v>
      </c>
      <c r="N439" s="396">
        <f t="shared" si="108"/>
        <v>-9.5871149175508119</v>
      </c>
      <c r="O439" s="396">
        <f t="shared" si="108"/>
        <v>-9.5871149175508119</v>
      </c>
    </row>
    <row r="440" spans="2:15" x14ac:dyDescent="0.25">
      <c r="D440" t="s">
        <v>211</v>
      </c>
      <c r="F440" s="185"/>
      <c r="J440" s="405">
        <f>SUM(J438:J439)</f>
        <v>722.69999999999993</v>
      </c>
      <c r="K440" s="405">
        <f>SUM(K438:K439)</f>
        <v>713.11288508244911</v>
      </c>
      <c r="L440" s="405">
        <f t="shared" ref="L440:O440" si="109">SUM(L438:L439)</f>
        <v>704.10099705995128</v>
      </c>
      <c r="M440" s="405">
        <f t="shared" si="109"/>
        <v>695.15302313690381</v>
      </c>
      <c r="N440" s="405">
        <f t="shared" si="109"/>
        <v>686.28494183816929</v>
      </c>
      <c r="O440" s="405">
        <f t="shared" si="109"/>
        <v>677.49675316374771</v>
      </c>
    </row>
    <row r="441" spans="2:15" x14ac:dyDescent="0.25">
      <c r="D441" t="s">
        <v>215</v>
      </c>
      <c r="K441" s="450">
        <f>K172/K437</f>
        <v>0.57522689505304869</v>
      </c>
      <c r="L441" s="450">
        <f>L172/L437</f>
        <v>0.63914099450338746</v>
      </c>
      <c r="M441" s="450">
        <f>M172/M437</f>
        <v>0.71903361881631089</v>
      </c>
      <c r="N441" s="450">
        <f>N172/N437</f>
        <v>0.79892624312923421</v>
      </c>
      <c r="O441" s="450">
        <f>O172/O437</f>
        <v>0.95871149175508108</v>
      </c>
    </row>
    <row r="442" spans="2:15" x14ac:dyDescent="0.25">
      <c r="D442" t="s">
        <v>211</v>
      </c>
      <c r="F442" s="185"/>
      <c r="J442" s="405">
        <f>SUM(J440:J441)</f>
        <v>722.69999999999993</v>
      </c>
      <c r="K442" s="405">
        <f>SUM(K440:K441)</f>
        <v>713.6881119775021</v>
      </c>
      <c r="L442" s="405">
        <f t="shared" ref="L442:O442" si="110">SUM(L440:L441)</f>
        <v>704.74013805445463</v>
      </c>
      <c r="M442" s="405">
        <f t="shared" si="110"/>
        <v>695.87205675572011</v>
      </c>
      <c r="N442" s="405">
        <f t="shared" si="110"/>
        <v>687.08386808129853</v>
      </c>
      <c r="O442" s="405">
        <f t="shared" si="110"/>
        <v>678.45546465550274</v>
      </c>
    </row>
    <row r="443" spans="2:15" x14ac:dyDescent="0.25">
      <c r="F443" s="185"/>
      <c r="K443" s="426"/>
      <c r="L443" s="426"/>
      <c r="M443" s="426"/>
      <c r="N443" s="426"/>
      <c r="O443" s="426"/>
    </row>
    <row r="444" spans="2:15" ht="13.35" customHeight="1" x14ac:dyDescent="0.25">
      <c r="B444" s="191"/>
      <c r="C444" s="191" t="s">
        <v>113</v>
      </c>
      <c r="F444" s="185"/>
    </row>
    <row r="445" spans="2:15" ht="13.35" customHeight="1" x14ac:dyDescent="0.25">
      <c r="D445" t="s">
        <v>143</v>
      </c>
      <c r="F445" s="185"/>
      <c r="G445" s="194"/>
      <c r="K445" s="358">
        <f>J448</f>
        <v>16.600000000000001</v>
      </c>
      <c r="L445" s="358">
        <f>K448</f>
        <v>26.545821913442534</v>
      </c>
      <c r="M445" s="358">
        <f>L448</f>
        <v>48.567861808530196</v>
      </c>
      <c r="N445" s="358">
        <f>M448</f>
        <v>119.42320003820278</v>
      </c>
      <c r="O445" s="358">
        <f>N448</f>
        <v>1514.078938319085</v>
      </c>
    </row>
    <row r="446" spans="2:15" ht="13.35" customHeight="1" x14ac:dyDescent="0.25">
      <c r="D446" t="s">
        <v>158</v>
      </c>
      <c r="F446" s="185"/>
      <c r="K446" s="429">
        <f>K432</f>
        <v>10.580661610045249</v>
      </c>
      <c r="L446" s="429">
        <f>L432</f>
        <v>22.727417335757348</v>
      </c>
      <c r="M446" s="429">
        <f>M432</f>
        <v>71.648887850425979</v>
      </c>
      <c r="N446" s="429">
        <f>N432</f>
        <v>1395.5374600817192</v>
      </c>
      <c r="O446" s="429">
        <f>O432</f>
        <v>-2461.9116900469667</v>
      </c>
    </row>
    <row r="447" spans="2:15" ht="13.35" customHeight="1" x14ac:dyDescent="0.25">
      <c r="D447" t="s">
        <v>242</v>
      </c>
      <c r="F447" s="185"/>
      <c r="K447" s="429">
        <f>K172*$K$431</f>
        <v>-0.634839696602715</v>
      </c>
      <c r="L447" s="429">
        <f>L172*$K$431</f>
        <v>-0.70537744066968333</v>
      </c>
      <c r="M447" s="429">
        <f>M172*$K$431</f>
        <v>-0.79354962075339375</v>
      </c>
      <c r="N447" s="429">
        <f>N172*$K$431</f>
        <v>-0.88172180083710416</v>
      </c>
      <c r="O447" s="429">
        <f>O172*$K$431</f>
        <v>-1.058066161004525</v>
      </c>
    </row>
    <row r="448" spans="2:15" ht="13.35" customHeight="1" x14ac:dyDescent="0.25">
      <c r="D448" t="s">
        <v>145</v>
      </c>
      <c r="F448" s="185"/>
      <c r="J448" s="456">
        <f>J248</f>
        <v>16.600000000000001</v>
      </c>
      <c r="K448" s="456">
        <f>SUM(K445:K447)</f>
        <v>26.545821913442534</v>
      </c>
      <c r="L448" s="456">
        <f t="shared" ref="L448:O448" si="111">SUM(L445:L447)</f>
        <v>48.567861808530196</v>
      </c>
      <c r="M448" s="456">
        <f t="shared" si="111"/>
        <v>119.42320003820278</v>
      </c>
      <c r="N448" s="456">
        <f t="shared" si="111"/>
        <v>1514.078938319085</v>
      </c>
      <c r="O448" s="456">
        <f t="shared" si="111"/>
        <v>-948.8908178888862</v>
      </c>
    </row>
    <row r="449" spans="2:15" ht="6" customHeight="1" x14ac:dyDescent="0.25">
      <c r="F449" s="185"/>
    </row>
    <row r="450" spans="2:15" ht="13.35" customHeight="1" x14ac:dyDescent="0.25">
      <c r="D450" t="s">
        <v>159</v>
      </c>
      <c r="F450" s="185"/>
      <c r="K450" s="362">
        <f>Assumptions!N10</f>
        <v>0.5</v>
      </c>
      <c r="L450" s="208">
        <f>K450</f>
        <v>0.5</v>
      </c>
      <c r="M450" s="208">
        <f>L450</f>
        <v>0.5</v>
      </c>
      <c r="N450" s="208">
        <f>M450</f>
        <v>0.5</v>
      </c>
      <c r="O450" s="208">
        <f>N450</f>
        <v>0.5</v>
      </c>
    </row>
    <row r="451" spans="2:15" ht="13.35" customHeight="1" x14ac:dyDescent="0.25">
      <c r="D451" t="s">
        <v>12</v>
      </c>
      <c r="F451" s="185"/>
      <c r="K451" s="379">
        <f>K149</f>
        <v>8045.3476055000001</v>
      </c>
      <c r="L451" s="379">
        <f>L149</f>
        <v>8540.8968587501404</v>
      </c>
      <c r="M451" s="379">
        <f>M149</f>
        <v>9103.7051836631072</v>
      </c>
      <c r="N451" s="379">
        <f>N149</f>
        <v>9703.4582701779218</v>
      </c>
      <c r="O451" s="379">
        <f>O149</f>
        <v>10332.898150043629</v>
      </c>
    </row>
    <row r="452" spans="2:15" ht="13.35" customHeight="1" x14ac:dyDescent="0.25">
      <c r="C452" s="191"/>
      <c r="D452" s="191" t="s">
        <v>160</v>
      </c>
      <c r="F452" s="185"/>
      <c r="J452" s="420">
        <f>-J193</f>
        <v>4532.8</v>
      </c>
      <c r="K452" s="420">
        <f>MAX(K451*K450,0)</f>
        <v>4022.67380275</v>
      </c>
      <c r="L452" s="420">
        <f>MAX(L451*L450,0)</f>
        <v>4270.4484293750702</v>
      </c>
      <c r="M452" s="420">
        <f>MAX(M451*M450,0)</f>
        <v>4551.8525918315536</v>
      </c>
      <c r="N452" s="420">
        <f>MAX(N451*N450,0)</f>
        <v>4851.7291350889609</v>
      </c>
      <c r="O452" s="420">
        <f>MAX(O451*O450,0)</f>
        <v>5166.4490750218147</v>
      </c>
    </row>
    <row r="453" spans="2:15" x14ac:dyDescent="0.25">
      <c r="F453" s="185"/>
    </row>
    <row r="454" spans="2:15" ht="13.35" customHeight="1" x14ac:dyDescent="0.25">
      <c r="B454" s="191"/>
      <c r="C454" s="191" t="s">
        <v>114</v>
      </c>
      <c r="F454" s="185"/>
    </row>
    <row r="455" spans="2:15" ht="13.35" customHeight="1" x14ac:dyDescent="0.25">
      <c r="D455" t="s">
        <v>143</v>
      </c>
      <c r="F455" s="185"/>
      <c r="K455" s="539">
        <f>J460</f>
        <v>-2267.3000000000029</v>
      </c>
      <c r="L455" s="539">
        <f>K460</f>
        <v>-1074.572019163445</v>
      </c>
      <c r="M455" s="539">
        <f>L460</f>
        <v>373.85437031653782</v>
      </c>
      <c r="N455" s="539">
        <f>M460</f>
        <v>2079.8516239184191</v>
      </c>
      <c r="O455" s="539">
        <f>N460</f>
        <v>2786.9250207264977</v>
      </c>
    </row>
    <row r="456" spans="2:15" ht="13.35" customHeight="1" x14ac:dyDescent="0.25">
      <c r="D456" t="s">
        <v>12</v>
      </c>
      <c r="F456" s="185"/>
      <c r="K456" s="539">
        <f>K149</f>
        <v>8045.3476055000001</v>
      </c>
      <c r="L456" s="539">
        <f>L149</f>
        <v>8540.8968587501404</v>
      </c>
      <c r="M456" s="539">
        <f>M149</f>
        <v>9103.7051836631072</v>
      </c>
      <c r="N456" s="539">
        <f>N149</f>
        <v>9703.4582701779218</v>
      </c>
      <c r="O456" s="539">
        <f>O149</f>
        <v>10332.898150043629</v>
      </c>
    </row>
    <row r="457" spans="2:15" ht="13.35" customHeight="1" x14ac:dyDescent="0.25">
      <c r="D457" t="s">
        <v>273</v>
      </c>
      <c r="F457" s="185"/>
      <c r="K457" s="539">
        <f>K172*(1-$K$431)</f>
        <v>180.63483969660274</v>
      </c>
      <c r="L457" s="539">
        <f>L172*(1-$K$431)</f>
        <v>200.70537744066971</v>
      </c>
      <c r="M457" s="539">
        <f>M172*(1-$K$431)</f>
        <v>225.7935496207534</v>
      </c>
      <c r="N457" s="539">
        <f>N172*(1-$K$431)</f>
        <v>250.88172180083711</v>
      </c>
      <c r="O457" s="539">
        <f>O172*(1-$K$431)</f>
        <v>301.05806616100455</v>
      </c>
    </row>
    <row r="458" spans="2:15" ht="13.35" customHeight="1" x14ac:dyDescent="0.25">
      <c r="D458" t="s">
        <v>158</v>
      </c>
      <c r="F458" s="185"/>
      <c r="K458" s="539">
        <f>K433</f>
        <v>-3010.5806616100454</v>
      </c>
      <c r="L458" s="539">
        <f>L433</f>
        <v>-3022.7274173357573</v>
      </c>
      <c r="M458" s="539">
        <f>M433</f>
        <v>-3071.648887850426</v>
      </c>
      <c r="N458" s="539">
        <f>N433</f>
        <v>-4395.5374600817195</v>
      </c>
      <c r="O458" s="539">
        <f>O433</f>
        <v>-538.08830995303322</v>
      </c>
    </row>
    <row r="459" spans="2:15" ht="13.35" customHeight="1" x14ac:dyDescent="0.25">
      <c r="D459" t="s">
        <v>160</v>
      </c>
      <c r="F459" s="185"/>
      <c r="K459" s="539">
        <f>-K452</f>
        <v>-4022.67380275</v>
      </c>
      <c r="L459" s="539">
        <f>-L452</f>
        <v>-4270.4484293750702</v>
      </c>
      <c r="M459" s="539">
        <f>-M452</f>
        <v>-4551.8525918315536</v>
      </c>
      <c r="N459" s="539">
        <f>-N452</f>
        <v>-4851.7291350889609</v>
      </c>
      <c r="O459" s="539">
        <f>-O452</f>
        <v>-5166.4490750218147</v>
      </c>
    </row>
    <row r="460" spans="2:15" ht="13.35" customHeight="1" x14ac:dyDescent="0.25">
      <c r="D460" s="191" t="s">
        <v>145</v>
      </c>
      <c r="E460" s="191"/>
      <c r="F460" s="226"/>
      <c r="G460" s="191"/>
      <c r="H460" s="191"/>
      <c r="I460" s="191"/>
      <c r="J460" s="567">
        <f>J249</f>
        <v>-2267.3000000000029</v>
      </c>
      <c r="K460" s="567">
        <f>SUM(K455:K459)</f>
        <v>-1074.572019163445</v>
      </c>
      <c r="L460" s="567">
        <f>SUM(L455:L459)</f>
        <v>373.85437031653782</v>
      </c>
      <c r="M460" s="567">
        <f>SUM(M455:M459)</f>
        <v>2079.8516239184191</v>
      </c>
      <c r="N460" s="567">
        <f>SUM(N455:N459)</f>
        <v>2786.9250207264977</v>
      </c>
      <c r="O460" s="567">
        <f>SUM(O455:O459)</f>
        <v>7716.3438519562833</v>
      </c>
    </row>
    <row r="461" spans="2:15" ht="13.35" customHeight="1" x14ac:dyDescent="0.25">
      <c r="D461" s="191"/>
      <c r="E461" s="191"/>
      <c r="F461" s="226"/>
      <c r="G461" s="191"/>
      <c r="H461" s="191"/>
      <c r="I461" s="191"/>
      <c r="J461" s="361"/>
      <c r="K461" s="361"/>
      <c r="L461" s="361"/>
      <c r="M461" s="361"/>
      <c r="N461" s="361"/>
      <c r="O461" s="361"/>
    </row>
    <row r="462" spans="2:15" ht="13.35" customHeight="1" x14ac:dyDescent="0.25">
      <c r="C462" s="409" t="s">
        <v>192</v>
      </c>
      <c r="D462" s="191"/>
      <c r="E462" s="191"/>
      <c r="F462" s="226"/>
      <c r="G462" s="191"/>
      <c r="H462" s="191"/>
      <c r="I462" s="191"/>
      <c r="J462" s="361"/>
      <c r="K462" s="361"/>
      <c r="L462" s="361"/>
      <c r="M462" s="361"/>
      <c r="N462" s="361"/>
      <c r="O462" s="361"/>
    </row>
    <row r="463" spans="2:15" ht="13.35" customHeight="1" x14ac:dyDescent="0.25">
      <c r="D463" t="s">
        <v>143</v>
      </c>
      <c r="E463" s="191"/>
      <c r="F463" s="226"/>
      <c r="G463" s="191"/>
      <c r="H463" s="191"/>
      <c r="I463" s="191"/>
      <c r="J463" s="361"/>
      <c r="K463" s="429">
        <f>J465</f>
        <v>-2456</v>
      </c>
      <c r="L463" s="429">
        <f t="shared" ref="L463:O463" si="112">K465</f>
        <v>-2456</v>
      </c>
      <c r="M463" s="429">
        <f t="shared" si="112"/>
        <v>-2456</v>
      </c>
      <c r="N463" s="429">
        <f t="shared" si="112"/>
        <v>-2456</v>
      </c>
      <c r="O463" s="429">
        <f t="shared" si="112"/>
        <v>-2456</v>
      </c>
    </row>
    <row r="464" spans="2:15" ht="13.35" customHeight="1" x14ac:dyDescent="0.25">
      <c r="D464" t="s">
        <v>191</v>
      </c>
      <c r="F464" s="185"/>
      <c r="J464" s="418"/>
      <c r="K464" s="568">
        <f>K152+K153+K154</f>
        <v>0</v>
      </c>
      <c r="L464" s="568">
        <f>L152+L153+L154</f>
        <v>0</v>
      </c>
      <c r="M464" s="568">
        <f>M152+M153+M154</f>
        <v>0</v>
      </c>
      <c r="N464" s="568">
        <f>N152+N153+N154</f>
        <v>0</v>
      </c>
      <c r="O464" s="568">
        <f>O152+O153+O154</f>
        <v>0</v>
      </c>
    </row>
    <row r="465" spans="1:15" ht="13.35" customHeight="1" x14ac:dyDescent="0.25">
      <c r="D465" s="191" t="s">
        <v>145</v>
      </c>
      <c r="E465" s="191"/>
      <c r="F465" s="226"/>
      <c r="G465" s="191"/>
      <c r="H465" s="191"/>
      <c r="I465" s="191"/>
      <c r="J465" s="361">
        <f>J250</f>
        <v>-2456</v>
      </c>
      <c r="K465" s="361">
        <f>SUM(K463:K464)</f>
        <v>-2456</v>
      </c>
      <c r="L465" s="361">
        <f t="shared" ref="L465:O465" si="113">SUM(L463:L464)</f>
        <v>-2456</v>
      </c>
      <c r="M465" s="361">
        <f t="shared" si="113"/>
        <v>-2456</v>
      </c>
      <c r="N465" s="361">
        <f t="shared" si="113"/>
        <v>-2456</v>
      </c>
      <c r="O465" s="361">
        <f t="shared" si="113"/>
        <v>-2456</v>
      </c>
    </row>
    <row r="466" spans="1:15" x14ac:dyDescent="0.25">
      <c r="B466" s="212"/>
      <c r="C466" s="212"/>
      <c r="D466" s="212"/>
      <c r="E466" s="212"/>
      <c r="F466" s="213"/>
      <c r="G466" s="212"/>
      <c r="H466" s="212"/>
      <c r="I466" s="212"/>
      <c r="J466" s="212"/>
      <c r="K466" s="212"/>
      <c r="L466" s="212"/>
      <c r="M466" s="212"/>
      <c r="N466" s="212"/>
      <c r="O466" s="212"/>
    </row>
    <row r="467" spans="1:15" x14ac:dyDescent="0.25">
      <c r="F467" s="185"/>
    </row>
    <row r="468" spans="1:15" ht="23.25" x14ac:dyDescent="0.35">
      <c r="A468" s="176"/>
      <c r="B468" s="177"/>
      <c r="C468" s="173"/>
      <c r="D468" s="173"/>
      <c r="E468" s="173"/>
      <c r="F468" s="174"/>
      <c r="G468" s="173"/>
      <c r="H468" s="173"/>
      <c r="I468" s="173"/>
      <c r="J468" s="173"/>
      <c r="K468" s="173"/>
      <c r="L468" s="173"/>
      <c r="M468" s="173"/>
      <c r="N468" s="173"/>
      <c r="O468" s="214" t="str">
        <f>$O$1</f>
        <v>CURRENTLY RUNNING: BASE CASE SCENARIO</v>
      </c>
    </row>
    <row r="469" spans="1:15" ht="23.25" x14ac:dyDescent="0.35">
      <c r="B469" s="177" t="str">
        <f>B$2</f>
        <v>McDonald's Corporation</v>
      </c>
      <c r="C469" s="173"/>
      <c r="D469" s="173"/>
      <c r="E469" s="173"/>
      <c r="F469" s="173"/>
      <c r="G469" s="173"/>
      <c r="H469" s="173"/>
      <c r="I469" s="173"/>
      <c r="J469" s="173"/>
      <c r="K469" s="173"/>
      <c r="L469" s="173"/>
      <c r="M469" s="173"/>
      <c r="N469" s="173"/>
      <c r="O469" s="173"/>
    </row>
    <row r="470" spans="1:15" ht="18" x14ac:dyDescent="0.25">
      <c r="B470" s="179" t="s">
        <v>240</v>
      </c>
      <c r="C470" s="173"/>
      <c r="D470" s="173"/>
      <c r="E470" s="173"/>
      <c r="F470" s="173"/>
      <c r="G470" s="173"/>
      <c r="H470" s="173"/>
      <c r="I470" s="173"/>
      <c r="J470" s="173"/>
      <c r="K470" s="173"/>
      <c r="L470" s="173"/>
      <c r="M470" s="173"/>
      <c r="N470" s="173"/>
      <c r="O470" s="173"/>
    </row>
    <row r="471" spans="1:15" ht="19.5" thickBot="1" x14ac:dyDescent="0.35">
      <c r="A471" s="178"/>
      <c r="B471" s="182"/>
      <c r="C471" s="183"/>
      <c r="D471" s="183"/>
      <c r="E471" s="183"/>
      <c r="F471" s="184"/>
      <c r="G471" s="183"/>
      <c r="H471" s="183"/>
      <c r="I471" s="183"/>
      <c r="J471" s="183"/>
      <c r="K471" s="183"/>
      <c r="L471" s="183"/>
      <c r="M471" s="183"/>
      <c r="N471" s="183"/>
      <c r="O471" s="183"/>
    </row>
    <row r="472" spans="1:15" x14ac:dyDescent="0.25">
      <c r="B472" s="236" t="str">
        <f>$B$167</f>
        <v>($ Millions)</v>
      </c>
      <c r="O472" s="197"/>
    </row>
    <row r="473" spans="1:15" x14ac:dyDescent="0.25">
      <c r="H473" s="173"/>
      <c r="I473" s="173"/>
      <c r="J473" s="173"/>
      <c r="K473" s="187" t="s">
        <v>2</v>
      </c>
      <c r="L473" s="188"/>
      <c r="M473" s="188"/>
      <c r="N473" s="188"/>
      <c r="O473" s="188"/>
    </row>
    <row r="474" spans="1:15" x14ac:dyDescent="0.25">
      <c r="G474" s="266"/>
      <c r="H474" s="190">
        <f t="shared" ref="H474:O474" si="114">H$7</f>
        <v>2021</v>
      </c>
      <c r="I474" s="190">
        <f t="shared" si="114"/>
        <v>2022</v>
      </c>
      <c r="J474" s="190">
        <f t="shared" si="114"/>
        <v>2023</v>
      </c>
      <c r="K474" s="267">
        <f t="shared" si="114"/>
        <v>2024</v>
      </c>
      <c r="L474" s="267">
        <f t="shared" si="114"/>
        <v>2025</v>
      </c>
      <c r="M474" s="267">
        <f t="shared" si="114"/>
        <v>2026</v>
      </c>
      <c r="N474" s="267">
        <f t="shared" si="114"/>
        <v>2027</v>
      </c>
      <c r="O474" s="267">
        <f t="shared" si="114"/>
        <v>2028</v>
      </c>
    </row>
    <row r="475" spans="1:15" x14ac:dyDescent="0.25">
      <c r="F475" s="185"/>
    </row>
    <row r="476" spans="1:15" x14ac:dyDescent="0.25">
      <c r="B476" s="191"/>
      <c r="C476" s="191" t="s">
        <v>161</v>
      </c>
      <c r="F476" s="185"/>
    </row>
    <row r="477" spans="1:15" x14ac:dyDescent="0.25">
      <c r="B477" s="191"/>
      <c r="C477" s="191"/>
      <c r="D477" t="s">
        <v>219</v>
      </c>
      <c r="F477" s="185"/>
      <c r="J477" s="569">
        <f>J440*Valuation!J31</f>
        <v>226147.28399999999</v>
      </c>
      <c r="K477" s="569">
        <f>K440*Valuation!K31</f>
        <v>217049.30423587284</v>
      </c>
      <c r="L477" s="569">
        <f>L440*Valuation!L31</f>
        <v>230395.07624344045</v>
      </c>
      <c r="M477" s="569">
        <f>M440*Valuation!M31</f>
        <v>245546.05865512684</v>
      </c>
      <c r="N477" s="569">
        <f>N440*Valuation!N31</f>
        <v>261688.73307375537</v>
      </c>
      <c r="O477" s="569">
        <f>O440*Valuation!O31</f>
        <v>278594.01748128555</v>
      </c>
    </row>
    <row r="478" spans="1:15" x14ac:dyDescent="0.25">
      <c r="D478" t="s">
        <v>162</v>
      </c>
      <c r="F478" s="185"/>
      <c r="G478" s="194"/>
      <c r="J478" s="358">
        <f t="shared" ref="J478:O478" si="115">J413+J405</f>
        <v>37152.9</v>
      </c>
      <c r="K478" s="358">
        <f t="shared" si="115"/>
        <v>38152.9</v>
      </c>
      <c r="L478" s="358">
        <f t="shared" si="115"/>
        <v>38652.9</v>
      </c>
      <c r="M478" s="358">
        <f t="shared" si="115"/>
        <v>38652.9</v>
      </c>
      <c r="N478" s="358">
        <f t="shared" si="115"/>
        <v>38652.9</v>
      </c>
      <c r="O478" s="358">
        <f t="shared" si="115"/>
        <v>39652.9</v>
      </c>
    </row>
    <row r="479" spans="1:15" x14ac:dyDescent="0.25">
      <c r="D479" t="s">
        <v>202</v>
      </c>
      <c r="F479" s="185"/>
      <c r="G479" s="194"/>
      <c r="J479" s="358">
        <f t="shared" ref="J479:O479" si="116">J478-J380-J389</f>
        <v>32573.600000000002</v>
      </c>
      <c r="K479" s="358">
        <f t="shared" si="116"/>
        <v>34015.94988226414</v>
      </c>
      <c r="L479" s="358">
        <f t="shared" si="116"/>
        <v>34302.770248169058</v>
      </c>
      <c r="M479" s="358">
        <f t="shared" si="116"/>
        <v>34487.847442950741</v>
      </c>
      <c r="N479" s="358">
        <f t="shared" si="116"/>
        <v>34565.610997372605</v>
      </c>
      <c r="O479" s="358">
        <f t="shared" si="116"/>
        <v>34526.793977293426</v>
      </c>
    </row>
    <row r="480" spans="1:15" x14ac:dyDescent="0.25">
      <c r="D480" t="s">
        <v>217</v>
      </c>
      <c r="F480" s="185"/>
      <c r="G480" s="194"/>
      <c r="J480" s="358">
        <f>J251</f>
        <v>-4706.7000000000025</v>
      </c>
      <c r="K480" s="358">
        <f t="shared" ref="K480:O480" si="117">K251</f>
        <v>-3504.0261972500025</v>
      </c>
      <c r="L480" s="358">
        <f t="shared" si="117"/>
        <v>-2033.5777678749319</v>
      </c>
      <c r="M480" s="358">
        <f t="shared" si="117"/>
        <v>-256.72517604337827</v>
      </c>
      <c r="N480" s="358">
        <f t="shared" si="117"/>
        <v>1845.0039590455826</v>
      </c>
      <c r="O480" s="358">
        <f t="shared" si="117"/>
        <v>4311.4530340673973</v>
      </c>
    </row>
    <row r="481" spans="3:15" x14ac:dyDescent="0.25">
      <c r="D481" t="s">
        <v>218</v>
      </c>
      <c r="F481" s="185"/>
      <c r="G481" s="194"/>
      <c r="J481" s="358">
        <f t="shared" ref="J481:O481" si="118">J480-J224</f>
        <v>-7747.1000000000022</v>
      </c>
      <c r="K481" s="358">
        <f t="shared" si="118"/>
        <v>-6544.4261972500026</v>
      </c>
      <c r="L481" s="358">
        <f t="shared" si="118"/>
        <v>-5073.9777678749324</v>
      </c>
      <c r="M481" s="358">
        <f t="shared" si="118"/>
        <v>-3297.1251760433784</v>
      </c>
      <c r="N481" s="358">
        <f t="shared" si="118"/>
        <v>-1195.3960409544175</v>
      </c>
      <c r="O481" s="358">
        <f t="shared" si="118"/>
        <v>1271.0530340673972</v>
      </c>
    </row>
    <row r="482" spans="3:15" x14ac:dyDescent="0.25">
      <c r="D482" t="s">
        <v>221</v>
      </c>
      <c r="F482" s="185"/>
      <c r="G482" s="194"/>
      <c r="J482" s="569">
        <f>J477+J479</f>
        <v>258720.88399999999</v>
      </c>
      <c r="K482" s="569">
        <f>K477+K479</f>
        <v>251065.25411813697</v>
      </c>
      <c r="L482" s="569">
        <f t="shared" ref="L482:O482" si="119">L477+L479</f>
        <v>264697.84649160953</v>
      </c>
      <c r="M482" s="569">
        <f t="shared" si="119"/>
        <v>280033.9060980776</v>
      </c>
      <c r="N482" s="569">
        <f t="shared" si="119"/>
        <v>296254.344071128</v>
      </c>
      <c r="O482" s="569">
        <f t="shared" si="119"/>
        <v>313120.81145857897</v>
      </c>
    </row>
    <row r="483" spans="3:15" x14ac:dyDescent="0.25">
      <c r="D483" t="s">
        <v>253</v>
      </c>
      <c r="F483" s="185"/>
      <c r="G483" s="194"/>
      <c r="J483" s="358">
        <f t="shared" ref="J483:O483" si="120">J178+J182</f>
        <v>7254.4999999999964</v>
      </c>
      <c r="K483" s="358">
        <f t="shared" si="120"/>
        <v>6280.3239204858637</v>
      </c>
      <c r="L483" s="358">
        <f t="shared" si="120"/>
        <v>7683.6280634701507</v>
      </c>
      <c r="M483" s="358">
        <f t="shared" si="120"/>
        <v>8066.7753970498707</v>
      </c>
      <c r="N483" s="358">
        <f t="shared" si="120"/>
        <v>8473.9655806670926</v>
      </c>
      <c r="O483" s="358">
        <f t="shared" si="120"/>
        <v>8905.2660951010002</v>
      </c>
    </row>
    <row r="484" spans="3:15" x14ac:dyDescent="0.25">
      <c r="D484" t="s">
        <v>10</v>
      </c>
      <c r="F484" s="185"/>
      <c r="J484" s="358">
        <f t="shared" ref="J484:O484" si="121">J133</f>
        <v>12028.399999999996</v>
      </c>
      <c r="K484" s="358">
        <f t="shared" si="121"/>
        <v>11738.71883</v>
      </c>
      <c r="L484" s="358">
        <f t="shared" si="121"/>
        <v>12405.325197349997</v>
      </c>
      <c r="M484" s="358">
        <f t="shared" si="121"/>
        <v>13101.928851230748</v>
      </c>
      <c r="N484" s="358">
        <f t="shared" si="121"/>
        <v>13829.879669536123</v>
      </c>
      <c r="O484" s="358">
        <f t="shared" si="121"/>
        <v>14590.588274665253</v>
      </c>
    </row>
    <row r="485" spans="3:15" x14ac:dyDescent="0.25">
      <c r="F485" s="185"/>
      <c r="J485" s="358"/>
      <c r="K485" s="358"/>
      <c r="L485" s="358"/>
      <c r="M485" s="358"/>
      <c r="N485" s="358"/>
      <c r="O485" s="358"/>
    </row>
    <row r="486" spans="3:15" x14ac:dyDescent="0.25">
      <c r="F486" s="185"/>
      <c r="K486" s="242"/>
      <c r="L486" s="242"/>
      <c r="M486" s="242"/>
      <c r="N486" s="242"/>
      <c r="O486" s="242"/>
    </row>
    <row r="487" spans="3:15" x14ac:dyDescent="0.25">
      <c r="C487" s="191" t="s">
        <v>163</v>
      </c>
      <c r="F487" s="185"/>
      <c r="K487" s="242"/>
      <c r="L487" s="242"/>
      <c r="M487" s="242"/>
      <c r="N487" s="242"/>
      <c r="O487" s="242"/>
    </row>
    <row r="488" spans="3:15" x14ac:dyDescent="0.25">
      <c r="D488" t="s">
        <v>164</v>
      </c>
      <c r="F488" s="185"/>
      <c r="J488" s="363">
        <f t="shared" ref="J488:O488" si="122">J478/J484</f>
        <v>3.088764923015531</v>
      </c>
      <c r="K488" s="363">
        <f t="shared" si="122"/>
        <v>3.2501758115625639</v>
      </c>
      <c r="L488" s="363">
        <f t="shared" si="122"/>
        <v>3.1158312567458499</v>
      </c>
      <c r="M488" s="363">
        <f t="shared" si="122"/>
        <v>2.9501686689719038</v>
      </c>
      <c r="N488" s="363">
        <f t="shared" si="122"/>
        <v>2.7948833195666181</v>
      </c>
      <c r="O488" s="363">
        <f t="shared" si="122"/>
        <v>2.7177039920215105</v>
      </c>
    </row>
    <row r="489" spans="3:15" x14ac:dyDescent="0.25">
      <c r="D489" t="s">
        <v>216</v>
      </c>
      <c r="F489" s="185"/>
      <c r="J489" s="363">
        <f>J479/J477</f>
        <v>0.14403710459772759</v>
      </c>
      <c r="K489" s="363">
        <f t="shared" ref="K489:O489" si="123">K479/K477</f>
        <v>0.15671992131934304</v>
      </c>
      <c r="L489" s="363">
        <f t="shared" si="123"/>
        <v>0.14888673320398568</v>
      </c>
      <c r="M489" s="363">
        <f t="shared" si="123"/>
        <v>0.1404536795737758</v>
      </c>
      <c r="N489" s="363">
        <f t="shared" si="123"/>
        <v>0.13208673751968716</v>
      </c>
      <c r="O489" s="363">
        <f t="shared" si="123"/>
        <v>0.12393228788415298</v>
      </c>
    </row>
    <row r="490" spans="3:15" x14ac:dyDescent="0.25">
      <c r="D490" t="s">
        <v>230</v>
      </c>
      <c r="F490" s="185"/>
      <c r="J490" s="363">
        <f t="shared" ref="J490:O490" si="124">IFERROR(-J138/J142,0)</f>
        <v>8.5587154614932359</v>
      </c>
      <c r="K490" s="363">
        <f t="shared" si="124"/>
        <v>6.026256671060052</v>
      </c>
      <c r="L490" s="363">
        <f t="shared" si="124"/>
        <v>6.1433407009514784</v>
      </c>
      <c r="M490" s="363">
        <f t="shared" si="124"/>
        <v>6.4266027328686866</v>
      </c>
      <c r="N490" s="363">
        <f t="shared" si="124"/>
        <v>6.7651860841138634</v>
      </c>
      <c r="O490" s="363">
        <f t="shared" si="124"/>
        <v>7.1307329763002159</v>
      </c>
    </row>
    <row r="491" spans="3:15" x14ac:dyDescent="0.25">
      <c r="F491" s="185"/>
      <c r="K491" s="242"/>
      <c r="L491" s="242"/>
      <c r="M491" s="242"/>
      <c r="N491" s="242"/>
      <c r="O491" s="242"/>
    </row>
    <row r="492" spans="3:15" x14ac:dyDescent="0.25">
      <c r="C492" s="191" t="s">
        <v>165</v>
      </c>
      <c r="D492" s="191"/>
      <c r="F492" s="185"/>
      <c r="K492" s="242"/>
      <c r="L492" s="242"/>
      <c r="M492" s="242"/>
      <c r="N492" s="242"/>
      <c r="O492" s="242"/>
    </row>
    <row r="493" spans="3:15" x14ac:dyDescent="0.25">
      <c r="C493" s="191"/>
      <c r="D493" s="455" t="s">
        <v>227</v>
      </c>
      <c r="F493" s="185"/>
      <c r="J493" s="363">
        <f t="shared" ref="J493:O493" si="125">J220/J238</f>
        <v>1.1473064214911652</v>
      </c>
      <c r="K493" s="363">
        <f t="shared" si="125"/>
        <v>1.2538437607631931</v>
      </c>
      <c r="L493" s="363">
        <f t="shared" si="125"/>
        <v>1.2562454350733967</v>
      </c>
      <c r="M493" s="363">
        <f t="shared" si="125"/>
        <v>1.1985596786208301</v>
      </c>
      <c r="N493" s="363">
        <f t="shared" si="125"/>
        <v>1.1601203017790254</v>
      </c>
      <c r="O493" s="363">
        <f t="shared" si="125"/>
        <v>1.2806482491438651</v>
      </c>
    </row>
    <row r="494" spans="3:15" x14ac:dyDescent="0.25">
      <c r="C494" s="191"/>
      <c r="D494" s="455" t="s">
        <v>228</v>
      </c>
      <c r="F494" s="185"/>
      <c r="J494" s="363">
        <f t="shared" ref="J494:O494" si="126">(J220-J216)/J238</f>
        <v>1.1397213044102859</v>
      </c>
      <c r="K494" s="363">
        <f t="shared" si="126"/>
        <v>1.2440708739866297</v>
      </c>
      <c r="L494" s="363">
        <f t="shared" si="126"/>
        <v>1.2464725482968333</v>
      </c>
      <c r="M494" s="363">
        <f t="shared" si="126"/>
        <v>1.1887867918442667</v>
      </c>
      <c r="N494" s="363">
        <f t="shared" si="126"/>
        <v>1.150347415002462</v>
      </c>
      <c r="O494" s="363">
        <f t="shared" si="126"/>
        <v>1.2708753623673017</v>
      </c>
    </row>
    <row r="495" spans="3:15" x14ac:dyDescent="0.25">
      <c r="C495" s="191"/>
      <c r="D495" s="455" t="s">
        <v>229</v>
      </c>
      <c r="F495" s="185"/>
      <c r="J495" s="363">
        <f t="shared" ref="J495:O495" si="127">(J213+J214)/J238</f>
        <v>0.65785088349375087</v>
      </c>
      <c r="K495" s="363">
        <f t="shared" si="127"/>
        <v>0.68617527647493959</v>
      </c>
      <c r="L495" s="363">
        <f t="shared" si="127"/>
        <v>0.68857695078514314</v>
      </c>
      <c r="M495" s="363">
        <f t="shared" si="127"/>
        <v>0.6308911943325769</v>
      </c>
      <c r="N495" s="363">
        <f t="shared" si="127"/>
        <v>0.59245181749077225</v>
      </c>
      <c r="O495" s="363">
        <f t="shared" si="127"/>
        <v>0.71297976485561154</v>
      </c>
    </row>
    <row r="496" spans="3:15" x14ac:dyDescent="0.25">
      <c r="C496" s="191"/>
      <c r="F496" s="185"/>
      <c r="K496" s="242"/>
      <c r="L496" s="242"/>
      <c r="M496" s="242"/>
      <c r="N496" s="242"/>
      <c r="O496" s="242"/>
    </row>
    <row r="497" spans="2:15" x14ac:dyDescent="0.25">
      <c r="C497" s="191" t="s">
        <v>231</v>
      </c>
      <c r="F497" s="185"/>
      <c r="K497" s="242"/>
      <c r="L497" s="242"/>
      <c r="M497" s="242"/>
      <c r="N497" s="242"/>
      <c r="O497" s="242"/>
    </row>
    <row r="498" spans="2:15" x14ac:dyDescent="0.25">
      <c r="C498" s="191"/>
      <c r="D498" s="455" t="s">
        <v>234</v>
      </c>
      <c r="F498" s="185"/>
      <c r="J498" s="454">
        <f t="shared" ref="J498:O498" si="128">J149/J118</f>
        <v>0.33219187485535628</v>
      </c>
      <c r="K498" s="454">
        <f t="shared" si="128"/>
        <v>0.30269255006813683</v>
      </c>
      <c r="L498" s="454">
        <f t="shared" si="128"/>
        <v>0.30749928204358373</v>
      </c>
      <c r="M498" s="454">
        <f t="shared" si="128"/>
        <v>0.31364800057720554</v>
      </c>
      <c r="N498" s="454">
        <f t="shared" si="128"/>
        <v>0.31991499036321192</v>
      </c>
      <c r="O498" s="454">
        <f t="shared" si="128"/>
        <v>0.32599722717056701</v>
      </c>
    </row>
    <row r="499" spans="2:15" x14ac:dyDescent="0.25">
      <c r="D499" s="455" t="s">
        <v>232</v>
      </c>
      <c r="F499" s="185"/>
      <c r="J499" s="454">
        <f t="shared" ref="J499:O499" si="129">J149/J229</f>
        <v>0.15083317303924704</v>
      </c>
      <c r="K499" s="454">
        <f t="shared" si="129"/>
        <v>0.14122704057080671</v>
      </c>
      <c r="L499" s="454">
        <f t="shared" si="129"/>
        <v>0.14531145426031208</v>
      </c>
      <c r="M499" s="454">
        <f t="shared" si="129"/>
        <v>0.15075446944152648</v>
      </c>
      <c r="N499" s="454">
        <f t="shared" si="129"/>
        <v>0.15566268775624045</v>
      </c>
      <c r="O499" s="454">
        <f t="shared" si="129"/>
        <v>0.15740896014173086</v>
      </c>
    </row>
    <row r="500" spans="2:15" x14ac:dyDescent="0.25">
      <c r="D500" s="455" t="s">
        <v>233</v>
      </c>
      <c r="F500" s="185"/>
      <c r="J500" s="454">
        <f t="shared" ref="J500:O500" si="130">J149/J251</f>
        <v>-1.7993073703444007</v>
      </c>
      <c r="K500" s="454">
        <f t="shared" si="130"/>
        <v>-2.2960295250686413</v>
      </c>
      <c r="L500" s="454">
        <f t="shared" si="130"/>
        <v>-4.1999361881671682</v>
      </c>
      <c r="M500" s="454">
        <f t="shared" si="130"/>
        <v>-35.460897618100667</v>
      </c>
      <c r="N500" s="454">
        <f t="shared" si="130"/>
        <v>5.2593156901394966</v>
      </c>
      <c r="O500" s="454">
        <f t="shared" si="130"/>
        <v>2.3966161914317872</v>
      </c>
    </row>
    <row r="501" spans="2:15" x14ac:dyDescent="0.25">
      <c r="F501" s="185"/>
      <c r="K501" s="242"/>
      <c r="L501" s="242"/>
      <c r="M501" s="242"/>
      <c r="N501" s="242"/>
      <c r="O501" s="242"/>
    </row>
    <row r="502" spans="2:15" x14ac:dyDescent="0.25">
      <c r="C502" s="191" t="s">
        <v>235</v>
      </c>
      <c r="F502" s="185"/>
      <c r="K502" s="242"/>
      <c r="L502" s="242"/>
      <c r="M502" s="242"/>
      <c r="N502" s="242"/>
      <c r="O502" s="242"/>
    </row>
    <row r="503" spans="2:15" x14ac:dyDescent="0.25">
      <c r="D503" s="455" t="s">
        <v>237</v>
      </c>
      <c r="F503" s="185"/>
      <c r="J503" s="363">
        <f t="shared" ref="J503:O503" si="131">J118/J229</f>
        <v>0.45405437175404467</v>
      </c>
      <c r="K503" s="363">
        <f t="shared" si="131"/>
        <v>0.46656926488285277</v>
      </c>
      <c r="L503" s="363">
        <f t="shared" si="131"/>
        <v>0.47255867816860853</v>
      </c>
      <c r="M503" s="363">
        <f t="shared" si="131"/>
        <v>0.48064859066244153</v>
      </c>
      <c r="N503" s="363">
        <f t="shared" si="131"/>
        <v>0.48657516041843041</v>
      </c>
      <c r="O503" s="363">
        <f t="shared" si="131"/>
        <v>0.48285367795282486</v>
      </c>
    </row>
    <row r="504" spans="2:15" x14ac:dyDescent="0.25">
      <c r="D504" s="455" t="s">
        <v>236</v>
      </c>
      <c r="F504" s="185"/>
      <c r="J504" s="363">
        <f t="shared" ref="J504:O504" si="132">IFERROR(J127/AVERAGE(I216:J216),0)</f>
        <v>208.61068702290078</v>
      </c>
      <c r="K504" s="363">
        <f t="shared" si="132"/>
        <v>210.62872745851041</v>
      </c>
      <c r="L504" s="363">
        <f t="shared" si="132"/>
        <v>203.79740683762128</v>
      </c>
      <c r="M504" s="363">
        <f t="shared" si="132"/>
        <v>203.52512149974851</v>
      </c>
      <c r="N504" s="363">
        <f t="shared" si="132"/>
        <v>203.52512149974856</v>
      </c>
      <c r="O504" s="363">
        <f t="shared" si="132"/>
        <v>203.80967680893301</v>
      </c>
    </row>
    <row r="505" spans="2:15" x14ac:dyDescent="0.25">
      <c r="B505" s="212"/>
      <c r="C505" s="212"/>
      <c r="D505" s="212"/>
      <c r="E505" s="212"/>
      <c r="F505" s="213"/>
      <c r="G505" s="212"/>
      <c r="H505" s="212"/>
      <c r="I505" s="212"/>
      <c r="J505" s="212"/>
      <c r="K505" s="468"/>
      <c r="L505" s="468"/>
      <c r="M505" s="468"/>
      <c r="N505" s="468"/>
      <c r="O505" s="468"/>
    </row>
  </sheetData>
  <printOptions horizontalCentered="1"/>
  <pageMargins left="0.23622047244094491" right="0.23622047244094491" top="0.23622047244094491" bottom="0.51181102362204722" header="0.23622047244094491" footer="0.23622047244094491"/>
  <pageSetup scale="65" orientation="landscape" r:id="rId1"/>
  <headerFooter>
    <oddFooter>&amp;CPage &amp;P of &amp;N&amp;R&amp;D &amp;T</oddFooter>
  </headerFooter>
  <ignoredErrors>
    <ignoredError sqref="K441:O44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1DF0D-253C-44AB-AB54-DA5C0E8BB2C7}">
  <dimension ref="A1:W76"/>
  <sheetViews>
    <sheetView workbookViewId="0">
      <selection activeCell="A2" sqref="A2"/>
    </sheetView>
  </sheetViews>
  <sheetFormatPr defaultRowHeight="15" x14ac:dyDescent="0.25"/>
  <cols>
    <col min="7" max="9" width="10.5703125" bestFit="1" customWidth="1"/>
    <col min="16" max="19" width="10.5703125" bestFit="1" customWidth="1"/>
    <col min="21" max="21" width="10.5703125" bestFit="1" customWidth="1"/>
  </cols>
  <sheetData>
    <row r="1" spans="1:13" x14ac:dyDescent="0.25">
      <c r="A1" t="s">
        <v>350</v>
      </c>
    </row>
    <row r="3" spans="1:13" x14ac:dyDescent="0.25">
      <c r="A3" s="409" t="s">
        <v>310</v>
      </c>
      <c r="G3">
        <v>2021</v>
      </c>
      <c r="H3">
        <v>2022</v>
      </c>
      <c r="I3">
        <v>2023</v>
      </c>
    </row>
    <row r="5" spans="1:13" x14ac:dyDescent="0.25">
      <c r="B5" t="s">
        <v>299</v>
      </c>
      <c r="G5" s="536">
        <v>21607</v>
      </c>
      <c r="H5" s="536">
        <v>21720</v>
      </c>
      <c r="I5" s="536">
        <v>21818</v>
      </c>
      <c r="J5" t="s">
        <v>344</v>
      </c>
    </row>
    <row r="6" spans="1:13" x14ac:dyDescent="0.25">
      <c r="B6" t="s">
        <v>300</v>
      </c>
      <c r="G6" s="536">
        <v>7913</v>
      </c>
      <c r="H6" s="536">
        <v>8229</v>
      </c>
      <c r="I6" s="536">
        <v>8684</v>
      </c>
      <c r="J6" t="s">
        <v>344</v>
      </c>
    </row>
    <row r="7" spans="1:13" x14ac:dyDescent="0.25">
      <c r="B7" t="s">
        <v>301</v>
      </c>
      <c r="G7" s="536">
        <v>7775</v>
      </c>
      <c r="H7" s="536">
        <v>8220</v>
      </c>
      <c r="I7" s="536">
        <v>9178</v>
      </c>
      <c r="J7" t="s">
        <v>344</v>
      </c>
    </row>
    <row r="8" spans="1:13" x14ac:dyDescent="0.25">
      <c r="G8" s="577">
        <f>SUM(G5:G7)</f>
        <v>37295</v>
      </c>
      <c r="H8" s="577">
        <f t="shared" ref="H8:I8" si="0">SUM(H5:H7)</f>
        <v>38169</v>
      </c>
      <c r="I8" s="577">
        <f t="shared" si="0"/>
        <v>39680</v>
      </c>
    </row>
    <row r="9" spans="1:13" x14ac:dyDescent="0.25">
      <c r="B9" t="s">
        <v>309</v>
      </c>
      <c r="G9" s="579"/>
      <c r="H9" s="579"/>
      <c r="I9" s="579"/>
    </row>
    <row r="10" spans="1:13" x14ac:dyDescent="0.25">
      <c r="B10" s="531" t="s">
        <v>306</v>
      </c>
      <c r="G10" s="583">
        <v>12775</v>
      </c>
      <c r="H10" s="583">
        <v>12751</v>
      </c>
      <c r="I10" s="583">
        <v>12772</v>
      </c>
      <c r="J10" t="s">
        <v>344</v>
      </c>
      <c r="K10" s="578">
        <f t="shared" ref="K10:M12" si="1">G10/G$8</f>
        <v>0.34253921437189971</v>
      </c>
      <c r="L10" s="578">
        <f t="shared" si="1"/>
        <v>0.33406691293982027</v>
      </c>
      <c r="M10" s="578">
        <f t="shared" si="1"/>
        <v>0.32187500000000002</v>
      </c>
    </row>
    <row r="11" spans="1:13" x14ac:dyDescent="0.25">
      <c r="B11" s="531" t="s">
        <v>307</v>
      </c>
      <c r="G11" s="583">
        <v>9020</v>
      </c>
      <c r="H11" s="583">
        <v>9006</v>
      </c>
      <c r="I11" s="583">
        <v>9133</v>
      </c>
      <c r="J11" t="s">
        <v>344</v>
      </c>
      <c r="K11" s="578">
        <f t="shared" si="1"/>
        <v>0.2418554766054431</v>
      </c>
      <c r="L11" s="578">
        <f t="shared" si="1"/>
        <v>0.23595064057219209</v>
      </c>
      <c r="M11" s="578">
        <f t="shared" si="1"/>
        <v>0.23016633064516129</v>
      </c>
    </row>
    <row r="12" spans="1:13" x14ac:dyDescent="0.25">
      <c r="B12" s="531" t="s">
        <v>308</v>
      </c>
      <c r="G12" s="583">
        <v>15500</v>
      </c>
      <c r="H12" s="583">
        <v>16412</v>
      </c>
      <c r="I12" s="583">
        <v>17775</v>
      </c>
      <c r="J12" t="s">
        <v>344</v>
      </c>
      <c r="K12" s="578">
        <f t="shared" si="1"/>
        <v>0.41560530902265719</v>
      </c>
      <c r="L12" s="578">
        <f t="shared" si="1"/>
        <v>0.42998244648798761</v>
      </c>
      <c r="M12" s="578">
        <f t="shared" si="1"/>
        <v>0.44795866935483869</v>
      </c>
    </row>
    <row r="13" spans="1:13" x14ac:dyDescent="0.25">
      <c r="G13" s="582">
        <f>SUM(G10:G12)</f>
        <v>37295</v>
      </c>
      <c r="H13" s="582">
        <f t="shared" ref="H13:I13" si="2">SUM(H10:H12)</f>
        <v>38169</v>
      </c>
      <c r="I13" s="582">
        <f t="shared" si="2"/>
        <v>39680</v>
      </c>
    </row>
    <row r="14" spans="1:13" x14ac:dyDescent="0.25">
      <c r="G14" s="576"/>
      <c r="H14" s="576"/>
      <c r="I14" s="576"/>
    </row>
    <row r="15" spans="1:13" x14ac:dyDescent="0.25">
      <c r="G15" s="576"/>
      <c r="H15" s="576"/>
      <c r="I15" s="576"/>
    </row>
    <row r="16" spans="1:13" x14ac:dyDescent="0.25">
      <c r="B16" t="s">
        <v>302</v>
      </c>
      <c r="G16" s="536">
        <v>2736</v>
      </c>
      <c r="H16" s="536">
        <v>2106</v>
      </c>
      <c r="I16" s="536">
        <v>2142</v>
      </c>
      <c r="J16" t="s">
        <v>344</v>
      </c>
    </row>
    <row r="17" spans="1:13" x14ac:dyDescent="0.25">
      <c r="B17" t="s">
        <v>309</v>
      </c>
      <c r="G17" s="576"/>
      <c r="H17" s="576"/>
      <c r="I17" s="576"/>
    </row>
    <row r="18" spans="1:13" x14ac:dyDescent="0.25">
      <c r="B18" s="531" t="s">
        <v>306</v>
      </c>
      <c r="G18" s="583">
        <v>663</v>
      </c>
      <c r="H18" s="583">
        <v>693</v>
      </c>
      <c r="I18" s="583">
        <v>685</v>
      </c>
      <c r="J18" t="s">
        <v>344</v>
      </c>
      <c r="K18" s="578">
        <f t="shared" ref="K18:M20" si="3">G18/G$16</f>
        <v>0.24232456140350878</v>
      </c>
      <c r="L18" s="578">
        <f t="shared" si="3"/>
        <v>0.32905982905982906</v>
      </c>
      <c r="M18" s="578">
        <f t="shared" si="3"/>
        <v>0.31979458450046683</v>
      </c>
    </row>
    <row r="19" spans="1:13" x14ac:dyDescent="0.25">
      <c r="B19" s="531" t="s">
        <v>307</v>
      </c>
      <c r="G19" s="584">
        <v>1765</v>
      </c>
      <c r="H19" s="584">
        <v>1097</v>
      </c>
      <c r="I19" s="584">
        <v>1130</v>
      </c>
      <c r="J19" t="s">
        <v>344</v>
      </c>
      <c r="K19" s="578">
        <f t="shared" si="3"/>
        <v>0.64510233918128657</v>
      </c>
      <c r="L19" s="578">
        <f t="shared" si="3"/>
        <v>0.52089268755935425</v>
      </c>
      <c r="M19" s="578">
        <f t="shared" si="3"/>
        <v>0.52754435107376285</v>
      </c>
    </row>
    <row r="20" spans="1:13" x14ac:dyDescent="0.25">
      <c r="B20" s="531" t="s">
        <v>308</v>
      </c>
      <c r="G20" s="583">
        <v>308</v>
      </c>
      <c r="H20" s="583">
        <v>316</v>
      </c>
      <c r="I20" s="583">
        <v>327</v>
      </c>
      <c r="J20" t="s">
        <v>344</v>
      </c>
      <c r="K20" s="578">
        <f t="shared" si="3"/>
        <v>0.11257309941520467</v>
      </c>
      <c r="L20" s="578">
        <f t="shared" si="3"/>
        <v>0.15004748338081672</v>
      </c>
      <c r="M20" s="578">
        <f t="shared" si="3"/>
        <v>0.15266106442577032</v>
      </c>
    </row>
    <row r="21" spans="1:13" x14ac:dyDescent="0.25">
      <c r="G21" s="582">
        <f t="shared" ref="G21:I21" si="4">SUM(G18:G20)</f>
        <v>2736</v>
      </c>
      <c r="H21" s="582">
        <f t="shared" si="4"/>
        <v>2106</v>
      </c>
      <c r="I21" s="582">
        <f t="shared" si="4"/>
        <v>2142</v>
      </c>
    </row>
    <row r="23" spans="1:13" ht="15.75" thickBot="1" x14ac:dyDescent="0.3">
      <c r="G23" s="581">
        <f>G13+G21</f>
        <v>40031</v>
      </c>
      <c r="H23" s="581">
        <f t="shared" ref="H23:I23" si="5">H13+H21</f>
        <v>40275</v>
      </c>
      <c r="I23" s="581">
        <f t="shared" si="5"/>
        <v>41822</v>
      </c>
    </row>
    <row r="24" spans="1:13" ht="15.75" thickTop="1" x14ac:dyDescent="0.25"/>
    <row r="26" spans="1:13" x14ac:dyDescent="0.25">
      <c r="A26" s="409" t="s">
        <v>66</v>
      </c>
      <c r="G26">
        <v>2021</v>
      </c>
      <c r="H26">
        <v>2022</v>
      </c>
      <c r="I26">
        <v>2023</v>
      </c>
    </row>
    <row r="27" spans="1:13" x14ac:dyDescent="0.25">
      <c r="B27" t="s">
        <v>311</v>
      </c>
    </row>
    <row r="28" spans="1:13" x14ac:dyDescent="0.25">
      <c r="B28" t="s">
        <v>306</v>
      </c>
      <c r="G28" s="536">
        <v>8865</v>
      </c>
      <c r="H28" s="536">
        <v>9588.4</v>
      </c>
      <c r="I28" s="536">
        <v>10568.4</v>
      </c>
    </row>
    <row r="29" spans="1:13" x14ac:dyDescent="0.25">
      <c r="B29" t="s">
        <v>307</v>
      </c>
      <c r="G29" s="536">
        <v>12219.8</v>
      </c>
      <c r="H29" s="536">
        <v>11297</v>
      </c>
      <c r="I29" s="536">
        <v>12382</v>
      </c>
    </row>
    <row r="30" spans="1:13" x14ac:dyDescent="0.25">
      <c r="B30" t="s">
        <v>308</v>
      </c>
      <c r="G30" s="536">
        <v>2138.1</v>
      </c>
      <c r="H30" s="536">
        <v>2297.1999999999998</v>
      </c>
      <c r="I30" s="536">
        <v>2543.3000000000002</v>
      </c>
    </row>
    <row r="31" spans="1:13" x14ac:dyDescent="0.25">
      <c r="G31" s="577">
        <f>SUM(G28:G30)</f>
        <v>23222.899999999998</v>
      </c>
      <c r="H31" s="577">
        <f t="shared" ref="H31:I31" si="6">SUM(H28:H30)</f>
        <v>23182.600000000002</v>
      </c>
      <c r="I31" s="577">
        <f t="shared" si="6"/>
        <v>25493.7</v>
      </c>
    </row>
    <row r="33" spans="1:12" x14ac:dyDescent="0.25">
      <c r="B33" t="s">
        <v>302</v>
      </c>
      <c r="G33" s="536">
        <v>9787.4</v>
      </c>
      <c r="H33" s="536">
        <v>8748.4</v>
      </c>
      <c r="I33" s="536">
        <v>9741.6</v>
      </c>
    </row>
    <row r="34" spans="1:12" x14ac:dyDescent="0.25">
      <c r="B34" t="s">
        <v>297</v>
      </c>
      <c r="G34" s="536">
        <v>13085.4</v>
      </c>
      <c r="H34" s="536">
        <v>14105.8</v>
      </c>
      <c r="I34" s="536">
        <v>15436.5</v>
      </c>
    </row>
    <row r="35" spans="1:12" x14ac:dyDescent="0.25">
      <c r="B35" t="s">
        <v>33</v>
      </c>
      <c r="G35" s="536">
        <v>350.1</v>
      </c>
      <c r="H35" s="536">
        <v>328.4</v>
      </c>
      <c r="I35" s="536">
        <v>315.60000000000002</v>
      </c>
    </row>
    <row r="36" spans="1:12" x14ac:dyDescent="0.25">
      <c r="G36" s="577">
        <f>SUM(G33:G35)</f>
        <v>23222.899999999998</v>
      </c>
      <c r="H36" s="577">
        <f t="shared" ref="H36:I36" si="7">SUM(H33:H35)</f>
        <v>23182.6</v>
      </c>
      <c r="I36" s="577">
        <f t="shared" si="7"/>
        <v>25493.699999999997</v>
      </c>
    </row>
    <row r="39" spans="1:12" x14ac:dyDescent="0.25">
      <c r="A39" t="s">
        <v>312</v>
      </c>
    </row>
    <row r="40" spans="1:12" x14ac:dyDescent="0.25">
      <c r="B40" t="s">
        <v>306</v>
      </c>
      <c r="E40" s="587"/>
      <c r="F40" s="587"/>
      <c r="G40" s="587">
        <v>0.45</v>
      </c>
      <c r="H40" s="587">
        <v>0.51</v>
      </c>
      <c r="I40" s="587">
        <v>0.55000000000000004</v>
      </c>
      <c r="L40" s="586"/>
    </row>
    <row r="41" spans="1:12" x14ac:dyDescent="0.25">
      <c r="B41" t="s">
        <v>307</v>
      </c>
      <c r="E41" s="587"/>
      <c r="F41" s="587"/>
      <c r="G41" s="587">
        <v>0.63</v>
      </c>
      <c r="H41" s="587">
        <v>0.64</v>
      </c>
      <c r="I41" s="587">
        <v>0.72</v>
      </c>
      <c r="K41" s="586"/>
      <c r="L41" s="586"/>
    </row>
    <row r="42" spans="1:12" x14ac:dyDescent="0.25">
      <c r="B42" t="s">
        <v>308</v>
      </c>
      <c r="E42" s="587"/>
      <c r="F42" s="587"/>
      <c r="G42" s="587">
        <v>0.11</v>
      </c>
      <c r="H42" s="587">
        <v>0.11</v>
      </c>
      <c r="I42" s="587">
        <v>0.12</v>
      </c>
      <c r="J42" s="586"/>
      <c r="K42" s="586"/>
    </row>
    <row r="43" spans="1:12" x14ac:dyDescent="0.25">
      <c r="E43" s="587"/>
      <c r="F43" s="587"/>
      <c r="G43" s="587"/>
      <c r="H43" s="587"/>
      <c r="I43" s="587"/>
    </row>
    <row r="44" spans="1:12" x14ac:dyDescent="0.25">
      <c r="E44" s="587"/>
      <c r="F44" s="587"/>
      <c r="G44" s="587"/>
      <c r="H44" s="587"/>
      <c r="I44" s="587"/>
    </row>
    <row r="45" spans="1:12" x14ac:dyDescent="0.25">
      <c r="A45" t="s">
        <v>313</v>
      </c>
      <c r="E45" s="587"/>
      <c r="F45" s="587"/>
      <c r="G45" s="587"/>
      <c r="H45" s="587"/>
      <c r="I45" s="587"/>
    </row>
    <row r="46" spans="1:12" x14ac:dyDescent="0.25">
      <c r="B46" t="s">
        <v>306</v>
      </c>
      <c r="E46" s="587"/>
      <c r="F46" s="587"/>
      <c r="G46" s="587">
        <v>4.5</v>
      </c>
      <c r="H46" s="587">
        <v>4.7</v>
      </c>
      <c r="I46" s="587">
        <v>5.15</v>
      </c>
      <c r="L46" s="586"/>
    </row>
    <row r="47" spans="1:12" x14ac:dyDescent="0.25">
      <c r="B47" t="s">
        <v>307</v>
      </c>
      <c r="E47" s="587"/>
      <c r="F47" s="587"/>
      <c r="G47" s="587">
        <v>3.7</v>
      </c>
      <c r="H47" s="587">
        <v>4.5999999999999996</v>
      </c>
      <c r="I47" s="587">
        <v>4.75</v>
      </c>
      <c r="K47" s="586"/>
      <c r="L47" s="586"/>
    </row>
    <row r="48" spans="1:12" x14ac:dyDescent="0.25">
      <c r="B48" t="s">
        <v>308</v>
      </c>
      <c r="E48" s="587"/>
      <c r="F48" s="587"/>
      <c r="G48" s="587">
        <v>1.4</v>
      </c>
      <c r="H48" s="587">
        <v>1.4</v>
      </c>
      <c r="I48" s="587">
        <v>1.5</v>
      </c>
      <c r="J48" s="586"/>
      <c r="K48" s="586"/>
    </row>
    <row r="51" spans="6:23" x14ac:dyDescent="0.25">
      <c r="G51" s="409" t="s">
        <v>314</v>
      </c>
    </row>
    <row r="52" spans="6:23" x14ac:dyDescent="0.25">
      <c r="F52" s="409" t="s">
        <v>317</v>
      </c>
      <c r="G52">
        <v>2021</v>
      </c>
      <c r="H52">
        <v>2022</v>
      </c>
      <c r="I52">
        <v>2023</v>
      </c>
      <c r="J52" t="s">
        <v>316</v>
      </c>
    </row>
    <row r="53" spans="6:23" x14ac:dyDescent="0.25">
      <c r="F53" t="s">
        <v>306</v>
      </c>
      <c r="G53" s="580">
        <f t="shared" ref="G53:I55" si="8">G40*G10</f>
        <v>5748.75</v>
      </c>
      <c r="H53" s="580">
        <f t="shared" si="8"/>
        <v>6503.01</v>
      </c>
      <c r="I53" s="580">
        <f t="shared" si="8"/>
        <v>7024.6</v>
      </c>
      <c r="J53" s="580">
        <f>SUM(G53:I53)</f>
        <v>19276.36</v>
      </c>
    </row>
    <row r="54" spans="6:23" x14ac:dyDescent="0.25">
      <c r="F54" t="s">
        <v>307</v>
      </c>
      <c r="G54" s="580">
        <f t="shared" si="8"/>
        <v>5682.6</v>
      </c>
      <c r="H54" s="580">
        <f t="shared" si="8"/>
        <v>5763.84</v>
      </c>
      <c r="I54" s="580">
        <f t="shared" si="8"/>
        <v>6575.7599999999993</v>
      </c>
      <c r="J54" s="580">
        <f>SUM(G54:I54)</f>
        <v>18022.2</v>
      </c>
    </row>
    <row r="55" spans="6:23" x14ac:dyDescent="0.25">
      <c r="F55" t="s">
        <v>308</v>
      </c>
      <c r="G55" s="580">
        <f t="shared" si="8"/>
        <v>1705</v>
      </c>
      <c r="H55" s="580">
        <f t="shared" si="8"/>
        <v>1805.32</v>
      </c>
      <c r="I55" s="580">
        <f t="shared" si="8"/>
        <v>2133</v>
      </c>
      <c r="J55" s="580">
        <f t="shared" ref="J55" si="9">SUM(G55:I55)</f>
        <v>5643.32</v>
      </c>
    </row>
    <row r="58" spans="6:23" x14ac:dyDescent="0.25">
      <c r="F58" s="409" t="s">
        <v>318</v>
      </c>
    </row>
    <row r="59" spans="6:23" x14ac:dyDescent="0.25">
      <c r="F59" t="s">
        <v>306</v>
      </c>
      <c r="G59" s="580">
        <f t="shared" ref="G59:I61" si="10">G46*G18</f>
        <v>2983.5</v>
      </c>
      <c r="H59" s="580">
        <f t="shared" si="10"/>
        <v>3257.1</v>
      </c>
      <c r="I59" s="580">
        <f t="shared" si="10"/>
        <v>3527.7500000000005</v>
      </c>
      <c r="J59" s="580">
        <f>SUM(G59:I59)</f>
        <v>9768.35</v>
      </c>
      <c r="W59" s="580"/>
    </row>
    <row r="60" spans="6:23" x14ac:dyDescent="0.25">
      <c r="F60" t="s">
        <v>307</v>
      </c>
      <c r="G60" s="580">
        <f t="shared" si="10"/>
        <v>6530.5</v>
      </c>
      <c r="H60" s="580">
        <f t="shared" si="10"/>
        <v>5046.2</v>
      </c>
      <c r="I60" s="580">
        <f t="shared" si="10"/>
        <v>5367.5</v>
      </c>
      <c r="J60" s="580">
        <f t="shared" ref="J60:J61" si="11">SUM(G60:I60)</f>
        <v>16944.2</v>
      </c>
      <c r="W60" s="580"/>
    </row>
    <row r="61" spans="6:23" x14ac:dyDescent="0.25">
      <c r="F61" t="s">
        <v>308</v>
      </c>
      <c r="G61" s="580">
        <f t="shared" si="10"/>
        <v>431.2</v>
      </c>
      <c r="H61" s="580">
        <f t="shared" si="10"/>
        <v>442.4</v>
      </c>
      <c r="I61" s="580">
        <f t="shared" si="10"/>
        <v>490.5</v>
      </c>
      <c r="J61" s="580">
        <f t="shared" si="11"/>
        <v>1364.1</v>
      </c>
      <c r="W61" s="580"/>
    </row>
    <row r="64" spans="6:23" x14ac:dyDescent="0.25">
      <c r="F64" s="409" t="s">
        <v>315</v>
      </c>
      <c r="J64" t="s">
        <v>320</v>
      </c>
      <c r="K64" t="s">
        <v>319</v>
      </c>
      <c r="L64" t="s">
        <v>321</v>
      </c>
    </row>
    <row r="65" spans="6:18" x14ac:dyDescent="0.25">
      <c r="F65" t="s">
        <v>306</v>
      </c>
      <c r="G65" s="580">
        <f>G53+G59</f>
        <v>8732.25</v>
      </c>
      <c r="H65" s="580">
        <f t="shared" ref="H65:I67" si="12">H53+H59</f>
        <v>9760.11</v>
      </c>
      <c r="I65" s="580">
        <f t="shared" si="12"/>
        <v>10552.35</v>
      </c>
      <c r="J65" s="580">
        <f>SUM(G65:I65)</f>
        <v>29044.71</v>
      </c>
      <c r="K65" s="585">
        <f>SUM(G28:I28)</f>
        <v>29021.800000000003</v>
      </c>
      <c r="L65" s="580">
        <f>J65-K65</f>
        <v>22.909999999996217</v>
      </c>
      <c r="P65" s="580"/>
    </row>
    <row r="66" spans="6:18" x14ac:dyDescent="0.25">
      <c r="F66" t="s">
        <v>307</v>
      </c>
      <c r="G66" s="580">
        <f>G54+G60</f>
        <v>12213.1</v>
      </c>
      <c r="H66" s="580">
        <f t="shared" si="12"/>
        <v>10810.04</v>
      </c>
      <c r="I66" s="580">
        <f t="shared" si="12"/>
        <v>11943.259999999998</v>
      </c>
      <c r="J66" s="580">
        <f t="shared" ref="J66:J67" si="13">SUM(G66:I66)</f>
        <v>34966.399999999994</v>
      </c>
      <c r="K66" s="585">
        <f>SUM(G29:I29)</f>
        <v>35898.800000000003</v>
      </c>
      <c r="L66" s="580">
        <f>J66-K66</f>
        <v>-932.40000000000873</v>
      </c>
      <c r="P66" s="580"/>
    </row>
    <row r="67" spans="6:18" x14ac:dyDescent="0.25">
      <c r="F67" t="s">
        <v>308</v>
      </c>
      <c r="G67" s="580">
        <f>G55+G61</f>
        <v>2136.1999999999998</v>
      </c>
      <c r="H67" s="580">
        <f t="shared" si="12"/>
        <v>2247.7199999999998</v>
      </c>
      <c r="I67" s="580">
        <f t="shared" si="12"/>
        <v>2623.5</v>
      </c>
      <c r="J67" s="580">
        <f t="shared" si="13"/>
        <v>7007.42</v>
      </c>
      <c r="K67" s="585">
        <f>SUM(G30:I30)</f>
        <v>6978.5999999999995</v>
      </c>
      <c r="L67" s="580">
        <f>J67-K67</f>
        <v>28.820000000000618</v>
      </c>
    </row>
    <row r="68" spans="6:18" ht="15.75" thickBot="1" x14ac:dyDescent="0.3">
      <c r="G68" s="581">
        <f t="shared" ref="G68" si="14">SUM(G65:G67)</f>
        <v>23081.55</v>
      </c>
      <c r="H68" s="581">
        <f t="shared" ref="H68" si="15">SUM(H65:H67)</f>
        <v>22817.870000000003</v>
      </c>
      <c r="I68" s="581">
        <f t="shared" ref="I68" si="16">SUM(I65:I67)</f>
        <v>25119.11</v>
      </c>
      <c r="J68" s="581">
        <f t="shared" ref="J68" si="17">SUM(J65:J67)</f>
        <v>71018.53</v>
      </c>
      <c r="K68" s="581">
        <f>SUM(K65:K67)</f>
        <v>71899.200000000012</v>
      </c>
      <c r="L68" s="581">
        <f t="shared" ref="L68" si="18">SUM(L65:L67)</f>
        <v>-880.6700000000119</v>
      </c>
    </row>
    <row r="69" spans="6:18" ht="15.75" thickTop="1" x14ac:dyDescent="0.25">
      <c r="P69" s="580"/>
      <c r="Q69" s="580"/>
      <c r="R69" s="580"/>
    </row>
    <row r="70" spans="6:18" x14ac:dyDescent="0.25">
      <c r="P70" s="580"/>
      <c r="Q70" s="580"/>
      <c r="R70" s="580"/>
    </row>
    <row r="71" spans="6:18" x14ac:dyDescent="0.25">
      <c r="F71" s="409" t="s">
        <v>322</v>
      </c>
      <c r="J71" t="s">
        <v>320</v>
      </c>
      <c r="K71" t="s">
        <v>319</v>
      </c>
      <c r="L71" t="s">
        <v>321</v>
      </c>
      <c r="P71" s="580"/>
      <c r="Q71" s="580"/>
      <c r="R71" s="580"/>
    </row>
    <row r="72" spans="6:18" x14ac:dyDescent="0.25">
      <c r="F72" t="s">
        <v>317</v>
      </c>
      <c r="G72" s="580">
        <f>SUM(G53:G55)</f>
        <v>13136.35</v>
      </c>
      <c r="H72" s="580">
        <f t="shared" ref="H72:I72" si="19">SUM(H53:H55)</f>
        <v>14072.17</v>
      </c>
      <c r="I72" s="580">
        <f t="shared" si="19"/>
        <v>15733.36</v>
      </c>
      <c r="J72" s="580">
        <f>SUM(G72:I72)</f>
        <v>42941.880000000005</v>
      </c>
      <c r="K72" s="585">
        <f>SUM(G34:I34)</f>
        <v>42627.7</v>
      </c>
      <c r="L72" s="580">
        <f>J72-K72</f>
        <v>314.18000000000757</v>
      </c>
    </row>
    <row r="73" spans="6:18" x14ac:dyDescent="0.25">
      <c r="F73" t="s">
        <v>318</v>
      </c>
      <c r="G73" s="580">
        <f>SUM(G59:G61)</f>
        <v>9945.2000000000007</v>
      </c>
      <c r="H73" s="580">
        <f t="shared" ref="H73:I73" si="20">SUM(H59:H61)</f>
        <v>8745.6999999999989</v>
      </c>
      <c r="I73" s="580">
        <f t="shared" si="20"/>
        <v>9385.75</v>
      </c>
      <c r="J73" s="580">
        <f t="shared" ref="J73" si="21">SUM(G73:I73)</f>
        <v>28076.65</v>
      </c>
      <c r="K73" s="585">
        <f>SUM(G33:I33)</f>
        <v>28277.4</v>
      </c>
      <c r="L73" s="580">
        <f>J73-K73</f>
        <v>-200.75</v>
      </c>
      <c r="P73" s="580"/>
      <c r="Q73" s="580"/>
      <c r="R73" s="580"/>
    </row>
    <row r="74" spans="6:18" ht="15.75" thickBot="1" x14ac:dyDescent="0.3">
      <c r="G74" s="581">
        <f>SUM(G72:G73)</f>
        <v>23081.550000000003</v>
      </c>
      <c r="H74" s="581">
        <f t="shared" ref="H74:J74" si="22">SUM(H72:H73)</f>
        <v>22817.87</v>
      </c>
      <c r="I74" s="581">
        <f t="shared" si="22"/>
        <v>25119.11</v>
      </c>
      <c r="J74" s="581">
        <f t="shared" si="22"/>
        <v>71018.53</v>
      </c>
      <c r="K74" s="581">
        <f t="shared" ref="K74" si="23">SUM(K72:K73)</f>
        <v>70905.100000000006</v>
      </c>
      <c r="L74" s="581">
        <f t="shared" ref="L74" si="24">SUM(L72:L73)</f>
        <v>113.43000000000757</v>
      </c>
      <c r="P74" s="580"/>
      <c r="Q74" s="580"/>
      <c r="R74" s="580"/>
    </row>
    <row r="75" spans="6:18" ht="15.75" thickTop="1" x14ac:dyDescent="0.25">
      <c r="P75" s="580"/>
      <c r="Q75" s="580"/>
      <c r="R75" s="580"/>
    </row>
    <row r="76" spans="6:18" x14ac:dyDescent="0.25">
      <c r="G76" s="580">
        <f>G74-SUM(G33:G34)</f>
        <v>208.75000000000364</v>
      </c>
      <c r="H76" s="580">
        <f>H74-SUM(H33:H34)</f>
        <v>-36.329999999998108</v>
      </c>
      <c r="I76" s="580">
        <f>I74-SUM(I33:I34)</f>
        <v>-58.989999999997963</v>
      </c>
      <c r="K76" t="s">
        <v>323</v>
      </c>
      <c r="L76" s="580">
        <f>L68+L74</f>
        <v>-767.24000000000433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Cover</vt:lpstr>
      <vt:lpstr>Disclaimer</vt:lpstr>
      <vt:lpstr>Business</vt:lpstr>
      <vt:lpstr>Summary</vt:lpstr>
      <vt:lpstr>Assumptions</vt:lpstr>
      <vt:lpstr>Scenarios</vt:lpstr>
      <vt:lpstr>Valuation</vt:lpstr>
      <vt:lpstr>Model</vt:lpstr>
      <vt:lpstr>Other</vt:lpstr>
      <vt:lpstr>Assumptions!Print_Area</vt:lpstr>
      <vt:lpstr>Business!Print_Area</vt:lpstr>
      <vt:lpstr>Cover!Print_Area</vt:lpstr>
      <vt:lpstr>Disclaimer!Print_Area</vt:lpstr>
      <vt:lpstr>Model!Print_Area</vt:lpstr>
      <vt:lpstr>Scenarios!Print_Area</vt:lpstr>
      <vt:lpstr>Summary!Print_Area</vt:lpstr>
      <vt:lpstr>Valuation!Print_Area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Samuels</dc:creator>
  <cp:lastModifiedBy>David Samuels</cp:lastModifiedBy>
  <cp:lastPrinted>2024-11-30T22:08:01Z</cp:lastPrinted>
  <dcterms:created xsi:type="dcterms:W3CDTF">2024-09-15T10:06:49Z</dcterms:created>
  <dcterms:modified xsi:type="dcterms:W3CDTF">2024-12-03T16:55:22Z</dcterms:modified>
</cp:coreProperties>
</file>